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projecttime/Downloads/"/>
    </mc:Choice>
  </mc:AlternateContent>
  <bookViews>
    <workbookView xWindow="0" yWindow="0" windowWidth="25600" windowHeight="16000" tabRatio="500"/>
  </bookViews>
  <sheets>
    <sheet name="Data" sheetId="1" r:id="rId1"/>
    <sheet name="School Bus Offset" sheetId="3" r:id="rId2"/>
    <sheet name="For Lesson 6" sheetId="4" r:id="rId3"/>
    <sheet name="Sources" sheetId="2"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0" i="4" l="1"/>
  <c r="D97" i="1"/>
  <c r="B97" i="1"/>
  <c r="D98" i="1"/>
  <c r="B98" i="1"/>
  <c r="E2" i="4"/>
  <c r="G2" i="4"/>
  <c r="B80" i="1"/>
  <c r="B109" i="1"/>
  <c r="F27" i="4"/>
  <c r="E3" i="4"/>
  <c r="F3" i="4"/>
  <c r="F4" i="4"/>
  <c r="F5" i="4"/>
  <c r="F6" i="4"/>
  <c r="F7" i="4"/>
  <c r="F8" i="4"/>
  <c r="F9" i="4"/>
  <c r="F10" i="4"/>
  <c r="F11" i="4"/>
  <c r="F12" i="4"/>
  <c r="F13" i="4"/>
  <c r="E14" i="4"/>
  <c r="F14" i="4"/>
  <c r="F15" i="4"/>
  <c r="F16" i="4"/>
  <c r="F17" i="4"/>
  <c r="F18" i="4"/>
  <c r="F19" i="4"/>
  <c r="F20" i="4"/>
  <c r="F21" i="4"/>
  <c r="F22" i="4"/>
  <c r="F23" i="4"/>
  <c r="F24" i="4"/>
  <c r="F25" i="4"/>
  <c r="F26" i="4"/>
  <c r="H2" i="4"/>
  <c r="G3" i="4"/>
  <c r="H3" i="4"/>
  <c r="F2" i="4"/>
  <c r="G5" i="4"/>
  <c r="H5" i="4"/>
  <c r="G6" i="4"/>
  <c r="H6" i="4"/>
  <c r="G7" i="4"/>
  <c r="H7" i="4"/>
  <c r="G8" i="4"/>
  <c r="H8" i="4"/>
  <c r="G9" i="4"/>
  <c r="H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G26" i="4"/>
  <c r="H26" i="4"/>
  <c r="G27" i="4"/>
  <c r="H27" i="4"/>
  <c r="H4" i="4"/>
  <c r="G4" i="4"/>
  <c r="B101" i="1"/>
  <c r="B100" i="1"/>
  <c r="B102" i="1"/>
  <c r="B108" i="1"/>
  <c r="B73" i="1"/>
  <c r="B75" i="1"/>
  <c r="B92" i="1"/>
  <c r="B71" i="1"/>
  <c r="B14" i="4"/>
  <c r="B31" i="4"/>
  <c r="C108" i="1"/>
  <c r="E108" i="1"/>
  <c r="F108" i="1"/>
  <c r="G108" i="1"/>
  <c r="H108" i="1"/>
  <c r="I108" i="1"/>
  <c r="J108" i="1"/>
  <c r="K108" i="1"/>
  <c r="L108" i="1"/>
  <c r="M108" i="1"/>
  <c r="N108" i="1"/>
  <c r="O108" i="1"/>
  <c r="P108" i="1"/>
  <c r="C109" i="1"/>
  <c r="E109" i="1"/>
  <c r="F109" i="1"/>
  <c r="G109" i="1"/>
  <c r="H109" i="1"/>
  <c r="I109" i="1"/>
  <c r="J109" i="1"/>
  <c r="K109" i="1"/>
  <c r="L109" i="1"/>
  <c r="M109" i="1"/>
  <c r="N109" i="1"/>
  <c r="O109" i="1"/>
  <c r="P109" i="1"/>
  <c r="B105" i="1"/>
  <c r="B96" i="1"/>
  <c r="B31" i="3"/>
  <c r="M31" i="3"/>
  <c r="P31" i="3"/>
  <c r="O31" i="3"/>
  <c r="N31" i="3"/>
  <c r="L31" i="3"/>
  <c r="K31" i="3"/>
  <c r="J31" i="3"/>
  <c r="I31" i="3"/>
  <c r="H31" i="3"/>
  <c r="G31" i="3"/>
  <c r="F31" i="3"/>
  <c r="E31" i="3"/>
  <c r="C31" i="3"/>
  <c r="B107" i="1"/>
  <c r="C107" i="1"/>
  <c r="E107" i="1"/>
  <c r="F107" i="1"/>
  <c r="G107" i="1"/>
  <c r="H107" i="1"/>
  <c r="I107" i="1"/>
  <c r="J107" i="1"/>
  <c r="K107" i="1"/>
  <c r="L107" i="1"/>
  <c r="M107" i="1"/>
  <c r="N107" i="1"/>
  <c r="O107" i="1"/>
  <c r="P107" i="1"/>
  <c r="C106" i="1"/>
  <c r="E106" i="1"/>
  <c r="F106" i="1"/>
  <c r="G106" i="1"/>
  <c r="H106" i="1"/>
  <c r="I106" i="1"/>
  <c r="J106" i="1"/>
  <c r="K106" i="1"/>
  <c r="L106" i="1"/>
  <c r="M106" i="1"/>
  <c r="N106" i="1"/>
  <c r="O106" i="1"/>
  <c r="P106" i="1"/>
  <c r="C8" i="1"/>
  <c r="E8" i="1"/>
  <c r="F8" i="1"/>
  <c r="G8" i="1"/>
  <c r="H8" i="1"/>
  <c r="I8" i="1"/>
  <c r="J8" i="1"/>
  <c r="K8" i="1"/>
  <c r="L8" i="1"/>
  <c r="M8" i="1"/>
  <c r="N8" i="1"/>
  <c r="O8" i="1"/>
  <c r="P8" i="1"/>
  <c r="F4" i="1"/>
  <c r="D43" i="1"/>
  <c r="D45" i="1"/>
  <c r="D60" i="1"/>
  <c r="D72" i="1"/>
  <c r="D74" i="1"/>
  <c r="D76" i="1"/>
  <c r="E4" i="1"/>
  <c r="E5" i="1"/>
  <c r="B6" i="1"/>
  <c r="E6" i="1"/>
  <c r="B7" i="1"/>
  <c r="E7" i="1"/>
  <c r="E11" i="1"/>
  <c r="E12" i="1"/>
  <c r="E13" i="1"/>
  <c r="E14" i="1"/>
  <c r="E15" i="1"/>
  <c r="E16" i="1"/>
  <c r="E17" i="1"/>
  <c r="E18" i="1"/>
  <c r="E19" i="1"/>
  <c r="E22" i="1"/>
  <c r="E23" i="1"/>
  <c r="E24" i="1"/>
  <c r="E25" i="1"/>
  <c r="E26" i="1"/>
  <c r="E27" i="1"/>
  <c r="E28" i="1"/>
  <c r="E29" i="1"/>
  <c r="E30" i="1"/>
  <c r="E31" i="1"/>
  <c r="E32" i="1"/>
  <c r="E33" i="1"/>
  <c r="E34" i="1"/>
  <c r="E35" i="1"/>
  <c r="E36" i="1"/>
  <c r="E37" i="1"/>
  <c r="E38" i="1"/>
  <c r="E39" i="1"/>
  <c r="B42" i="1"/>
  <c r="E42" i="1"/>
  <c r="B43" i="1"/>
  <c r="E43" i="1"/>
  <c r="B44" i="1"/>
  <c r="E44" i="1"/>
  <c r="B45" i="1"/>
  <c r="E45" i="1"/>
  <c r="B46" i="1"/>
  <c r="E46" i="1"/>
  <c r="B47" i="1"/>
  <c r="E47" i="1"/>
  <c r="B48" i="1"/>
  <c r="E48" i="1"/>
  <c r="B49" i="1"/>
  <c r="E49" i="1"/>
  <c r="B50" i="1"/>
  <c r="E50" i="1"/>
  <c r="B51" i="1"/>
  <c r="E51" i="1"/>
  <c r="B52" i="1"/>
  <c r="E52" i="1"/>
  <c r="B53" i="1"/>
  <c r="E53" i="1"/>
  <c r="B54" i="1"/>
  <c r="E54" i="1"/>
  <c r="B55" i="1"/>
  <c r="E55" i="1"/>
  <c r="B56" i="1"/>
  <c r="E56" i="1"/>
  <c r="B57" i="1"/>
  <c r="E57" i="1"/>
  <c r="B58" i="1"/>
  <c r="E58" i="1"/>
  <c r="B59" i="1"/>
  <c r="E59" i="1"/>
  <c r="B60" i="1"/>
  <c r="E60" i="1"/>
  <c r="B61" i="1"/>
  <c r="E61" i="1"/>
  <c r="B62" i="1"/>
  <c r="E62" i="1"/>
  <c r="B63" i="1"/>
  <c r="E63" i="1"/>
  <c r="B64" i="1"/>
  <c r="E64" i="1"/>
  <c r="B65" i="1"/>
  <c r="E65" i="1"/>
  <c r="B66" i="1"/>
  <c r="E66" i="1"/>
  <c r="B67" i="1"/>
  <c r="E67" i="1"/>
  <c r="B68" i="1"/>
  <c r="E68" i="1"/>
  <c r="B69" i="1"/>
  <c r="E69" i="1"/>
  <c r="B70" i="1"/>
  <c r="E70" i="1"/>
  <c r="E71" i="1"/>
  <c r="B72" i="1"/>
  <c r="E72" i="1"/>
  <c r="E73" i="1"/>
  <c r="B74" i="1"/>
  <c r="E74" i="1"/>
  <c r="E75" i="1"/>
  <c r="B76" i="1"/>
  <c r="E76" i="1"/>
  <c r="E77" i="1"/>
  <c r="E80" i="1"/>
  <c r="B81" i="1"/>
  <c r="E81" i="1"/>
  <c r="B82" i="1"/>
  <c r="E82" i="1"/>
  <c r="B84" i="1"/>
  <c r="B83" i="1"/>
  <c r="E83" i="1"/>
  <c r="E84" i="1"/>
  <c r="B85" i="1"/>
  <c r="E85" i="1"/>
  <c r="B86" i="1"/>
  <c r="E86" i="1"/>
  <c r="B87" i="1"/>
  <c r="E87" i="1"/>
  <c r="B88" i="1"/>
  <c r="E88" i="1"/>
  <c r="B89" i="1"/>
  <c r="E89" i="1"/>
  <c r="E90" i="1"/>
  <c r="B91" i="1"/>
  <c r="E91" i="1"/>
  <c r="E92" i="1"/>
  <c r="B93" i="1"/>
  <c r="E93" i="1"/>
  <c r="B94" i="1"/>
  <c r="E94" i="1"/>
  <c r="B95" i="1"/>
  <c r="E95" i="1"/>
  <c r="E96" i="1"/>
  <c r="E97" i="1"/>
  <c r="E98" i="1"/>
  <c r="B99" i="1"/>
  <c r="E99" i="1"/>
  <c r="E100" i="1"/>
  <c r="E101" i="1"/>
  <c r="E102" i="1"/>
  <c r="E103" i="1"/>
  <c r="B104" i="1"/>
  <c r="E104" i="1"/>
  <c r="E105" i="1"/>
  <c r="E113" i="1"/>
  <c r="E114" i="1"/>
  <c r="E115" i="1"/>
  <c r="E3" i="1"/>
  <c r="F87" i="1"/>
  <c r="G87" i="1"/>
  <c r="H87" i="1"/>
  <c r="I87" i="1"/>
  <c r="J87" i="1"/>
  <c r="K87" i="1"/>
  <c r="L87" i="1"/>
  <c r="M87" i="1"/>
  <c r="N87" i="1"/>
  <c r="O87" i="1"/>
  <c r="P87" i="1"/>
  <c r="C87"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N40" i="1"/>
  <c r="N41" i="1"/>
  <c r="M42" i="1"/>
  <c r="N42" i="1"/>
  <c r="M43" i="1"/>
  <c r="N43" i="1"/>
  <c r="M44" i="1"/>
  <c r="N44" i="1"/>
  <c r="M45" i="1"/>
  <c r="N45" i="1"/>
  <c r="M46" i="1"/>
  <c r="N46" i="1"/>
  <c r="M47" i="1"/>
  <c r="N47" i="1"/>
  <c r="M48" i="1"/>
  <c r="N48" i="1"/>
  <c r="M49" i="1"/>
  <c r="N49" i="1"/>
  <c r="M50" i="1"/>
  <c r="N50" i="1"/>
  <c r="M51"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74" i="1"/>
  <c r="N74" i="1"/>
  <c r="M75" i="1"/>
  <c r="N75" i="1"/>
  <c r="M76" i="1"/>
  <c r="N76" i="1"/>
  <c r="M77" i="1"/>
  <c r="N77" i="1"/>
  <c r="M80" i="1"/>
  <c r="N80" i="1"/>
  <c r="M81" i="1"/>
  <c r="N81" i="1"/>
  <c r="M82" i="1"/>
  <c r="N82" i="1"/>
  <c r="M83" i="1"/>
  <c r="N83" i="1"/>
  <c r="M84" i="1"/>
  <c r="N84" i="1"/>
  <c r="M85" i="1"/>
  <c r="N85" i="1"/>
  <c r="M86" i="1"/>
  <c r="N86" i="1"/>
  <c r="M88" i="1"/>
  <c r="N88" i="1"/>
  <c r="M89" i="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M104" i="1"/>
  <c r="N104" i="1"/>
  <c r="M105" i="1"/>
  <c r="N105" i="1"/>
  <c r="M113" i="1"/>
  <c r="N113" i="1"/>
  <c r="M114" i="1"/>
  <c r="N114" i="1"/>
  <c r="M115" i="1"/>
  <c r="N115" i="1"/>
  <c r="M116" i="1"/>
  <c r="N116" i="1"/>
  <c r="M117" i="1"/>
  <c r="N117" i="1"/>
  <c r="M118" i="1"/>
  <c r="N118" i="1"/>
  <c r="M119" i="1"/>
  <c r="N119" i="1"/>
  <c r="M120" i="1"/>
  <c r="N120" i="1"/>
  <c r="M121" i="1"/>
  <c r="N121" i="1"/>
  <c r="M122" i="1"/>
  <c r="N122" i="1"/>
  <c r="M123" i="1"/>
  <c r="N123" i="1"/>
  <c r="M124" i="1"/>
  <c r="N124" i="1"/>
  <c r="M125" i="1"/>
  <c r="N125" i="1"/>
  <c r="M126" i="1"/>
  <c r="N126" i="1"/>
  <c r="M127" i="1"/>
  <c r="N127" i="1"/>
  <c r="M128" i="1"/>
  <c r="N128" i="1"/>
  <c r="M129" i="1"/>
  <c r="N129" i="1"/>
  <c r="M130" i="1"/>
  <c r="N130" i="1"/>
  <c r="M131" i="1"/>
  <c r="N131" i="1"/>
  <c r="M132" i="1"/>
  <c r="N132" i="1"/>
  <c r="N3" i="1"/>
  <c r="M4" i="1"/>
  <c r="N4" i="1"/>
  <c r="M5" i="1"/>
  <c r="N5" i="1"/>
  <c r="M6" i="1"/>
  <c r="N6" i="1"/>
  <c r="M7" i="1"/>
  <c r="N7" i="1"/>
  <c r="M11" i="1"/>
  <c r="N11" i="1"/>
  <c r="M12" i="1"/>
  <c r="N12" i="1"/>
  <c r="M13" i="1"/>
  <c r="N13" i="1"/>
  <c r="M14" i="1"/>
  <c r="N14" i="1"/>
  <c r="M15" i="1"/>
  <c r="N15" i="1"/>
  <c r="M16" i="1"/>
  <c r="N16" i="1"/>
  <c r="M17" i="1"/>
  <c r="N17" i="1"/>
  <c r="M18" i="1"/>
  <c r="N18" i="1"/>
  <c r="M19" i="1"/>
  <c r="N19" i="1"/>
  <c r="F91" i="1"/>
  <c r="G91" i="1"/>
  <c r="H91" i="1"/>
  <c r="I91" i="1"/>
  <c r="J91" i="1"/>
  <c r="K91" i="1"/>
  <c r="L91" i="1"/>
  <c r="O91" i="1"/>
  <c r="P91" i="1"/>
  <c r="C91" i="1"/>
  <c r="F105" i="1"/>
  <c r="G105" i="1"/>
  <c r="H105" i="1"/>
  <c r="I105" i="1"/>
  <c r="J105" i="1"/>
  <c r="K105" i="1"/>
  <c r="L105" i="1"/>
  <c r="O105" i="1"/>
  <c r="P105" i="1"/>
  <c r="C105" i="1"/>
  <c r="C98" i="1"/>
  <c r="P98" i="1"/>
  <c r="O98" i="1"/>
  <c r="L98" i="1"/>
  <c r="K98" i="1"/>
  <c r="J98" i="1"/>
  <c r="I98" i="1"/>
  <c r="H98" i="1"/>
  <c r="G98" i="1"/>
  <c r="F98" i="1"/>
  <c r="F97" i="1"/>
  <c r="G97" i="1"/>
  <c r="H97" i="1"/>
  <c r="I97" i="1"/>
  <c r="J97" i="1"/>
  <c r="K97" i="1"/>
  <c r="L97" i="1"/>
  <c r="O97" i="1"/>
  <c r="P97" i="1"/>
  <c r="C97" i="1"/>
  <c r="F104" i="1"/>
  <c r="G104" i="1"/>
  <c r="H104" i="1"/>
  <c r="I104" i="1"/>
  <c r="J104" i="1"/>
  <c r="K104" i="1"/>
  <c r="L104" i="1"/>
  <c r="O104" i="1"/>
  <c r="P104" i="1"/>
  <c r="C104" i="1"/>
  <c r="F103" i="1"/>
  <c r="G103" i="1"/>
  <c r="H103" i="1"/>
  <c r="I103" i="1"/>
  <c r="J103" i="1"/>
  <c r="K103" i="1"/>
  <c r="L103" i="1"/>
  <c r="O103" i="1"/>
  <c r="P103" i="1"/>
  <c r="C103" i="1"/>
  <c r="F83" i="1"/>
  <c r="G83" i="1"/>
  <c r="H83" i="1"/>
  <c r="I83" i="1"/>
  <c r="J83" i="1"/>
  <c r="K83" i="1"/>
  <c r="L83" i="1"/>
  <c r="O83" i="1"/>
  <c r="P83" i="1"/>
  <c r="C83" i="1"/>
  <c r="F45" i="1"/>
  <c r="G45" i="1"/>
  <c r="H45" i="1"/>
  <c r="I45" i="1"/>
  <c r="J45" i="1"/>
  <c r="K45" i="1"/>
  <c r="L45" i="1"/>
  <c r="O45" i="1"/>
  <c r="P45" i="1"/>
  <c r="C45" i="1"/>
  <c r="F43" i="1"/>
  <c r="G43" i="1"/>
  <c r="H43" i="1"/>
  <c r="I43" i="1"/>
  <c r="J43" i="1"/>
  <c r="K43" i="1"/>
  <c r="L43" i="1"/>
  <c r="O43" i="1"/>
  <c r="P43" i="1"/>
  <c r="C43" i="1"/>
  <c r="F42" i="1"/>
  <c r="G42" i="1"/>
  <c r="H42" i="1"/>
  <c r="I42" i="1"/>
  <c r="J42" i="1"/>
  <c r="K42" i="1"/>
  <c r="L42" i="1"/>
  <c r="O42" i="1"/>
  <c r="P42" i="1"/>
  <c r="C42" i="1"/>
  <c r="F44" i="1"/>
  <c r="G44" i="1"/>
  <c r="H44" i="1"/>
  <c r="I44" i="1"/>
  <c r="J44" i="1"/>
  <c r="K44" i="1"/>
  <c r="L44" i="1"/>
  <c r="O44" i="1"/>
  <c r="P44" i="1"/>
  <c r="C44" i="1"/>
  <c r="F70" i="1"/>
  <c r="G70" i="1"/>
  <c r="H70" i="1"/>
  <c r="I70" i="1"/>
  <c r="J70" i="1"/>
  <c r="K70" i="1"/>
  <c r="L70" i="1"/>
  <c r="O70" i="1"/>
  <c r="P70" i="1"/>
  <c r="C70" i="1"/>
  <c r="F69" i="1"/>
  <c r="G69" i="1"/>
  <c r="H69" i="1"/>
  <c r="I69" i="1"/>
  <c r="J69" i="1"/>
  <c r="K69" i="1"/>
  <c r="L69" i="1"/>
  <c r="O69" i="1"/>
  <c r="P69" i="1"/>
  <c r="C69" i="1"/>
  <c r="C4" i="1"/>
  <c r="C5" i="1"/>
  <c r="C6" i="1"/>
  <c r="C7" i="1"/>
  <c r="C11" i="1"/>
  <c r="C12" i="1"/>
  <c r="C13" i="1"/>
  <c r="C14" i="1"/>
  <c r="C15" i="1"/>
  <c r="C16" i="1"/>
  <c r="C17" i="1"/>
  <c r="C18" i="1"/>
  <c r="C19" i="1"/>
  <c r="C22" i="1"/>
  <c r="C23" i="1"/>
  <c r="C24" i="1"/>
  <c r="C25" i="1"/>
  <c r="C26" i="1"/>
  <c r="C27" i="1"/>
  <c r="C28" i="1"/>
  <c r="C29" i="1"/>
  <c r="C30" i="1"/>
  <c r="C31" i="1"/>
  <c r="C32" i="1"/>
  <c r="C33" i="1"/>
  <c r="C34" i="1"/>
  <c r="C35" i="1"/>
  <c r="C36" i="1"/>
  <c r="C37" i="1"/>
  <c r="C38" i="1"/>
  <c r="C39" i="1"/>
  <c r="C46" i="1"/>
  <c r="C47" i="1"/>
  <c r="C48" i="1"/>
  <c r="C49" i="1"/>
  <c r="C50" i="1"/>
  <c r="C51" i="1"/>
  <c r="C52" i="1"/>
  <c r="C53" i="1"/>
  <c r="C54" i="1"/>
  <c r="C55" i="1"/>
  <c r="C56" i="1"/>
  <c r="C57" i="1"/>
  <c r="C58" i="1"/>
  <c r="C59" i="1"/>
  <c r="C60" i="1"/>
  <c r="C61" i="1"/>
  <c r="C62" i="1"/>
  <c r="C63" i="1"/>
  <c r="C64" i="1"/>
  <c r="C65" i="1"/>
  <c r="C66" i="1"/>
  <c r="C67" i="1"/>
  <c r="C68" i="1"/>
  <c r="C71" i="1"/>
  <c r="C72" i="1"/>
  <c r="C73" i="1"/>
  <c r="C74" i="1"/>
  <c r="C75" i="1"/>
  <c r="C76" i="1"/>
  <c r="C77" i="1"/>
  <c r="C80" i="1"/>
  <c r="C81" i="1"/>
  <c r="C82" i="1"/>
  <c r="C84" i="1"/>
  <c r="C85" i="1"/>
  <c r="C86" i="1"/>
  <c r="C88" i="1"/>
  <c r="C89" i="1"/>
  <c r="C90" i="1"/>
  <c r="C92" i="1"/>
  <c r="C93" i="1"/>
  <c r="C94" i="1"/>
  <c r="C95" i="1"/>
  <c r="C96" i="1"/>
  <c r="C99" i="1"/>
  <c r="C100" i="1"/>
  <c r="C101" i="1"/>
  <c r="C102" i="1"/>
  <c r="C113" i="1"/>
  <c r="C114" i="1"/>
  <c r="C115" i="1"/>
  <c r="C116" i="1"/>
  <c r="C117" i="1"/>
  <c r="C118" i="1"/>
  <c r="C119" i="1"/>
  <c r="C120" i="1"/>
  <c r="C121" i="1"/>
  <c r="C122" i="1"/>
  <c r="C123" i="1"/>
  <c r="C124" i="1"/>
  <c r="C125" i="1"/>
  <c r="C126" i="1"/>
  <c r="C127" i="1"/>
  <c r="C128" i="1"/>
  <c r="C129" i="1"/>
  <c r="C130" i="1"/>
  <c r="C131" i="1"/>
  <c r="C132" i="1"/>
  <c r="C3" i="1"/>
  <c r="F7" i="1"/>
  <c r="G7" i="1"/>
  <c r="H7" i="1"/>
  <c r="I7" i="1"/>
  <c r="J7" i="1"/>
  <c r="K7" i="1"/>
  <c r="L7" i="1"/>
  <c r="O7" i="1"/>
  <c r="P7" i="1"/>
  <c r="F84" i="1"/>
  <c r="G84" i="1"/>
  <c r="H84" i="1"/>
  <c r="I84" i="1"/>
  <c r="J84" i="1"/>
  <c r="K84" i="1"/>
  <c r="L84" i="1"/>
  <c r="O84" i="1"/>
  <c r="P84" i="1"/>
  <c r="F102" i="1"/>
  <c r="G102" i="1"/>
  <c r="H102" i="1"/>
  <c r="I102" i="1"/>
  <c r="J102" i="1"/>
  <c r="K102" i="1"/>
  <c r="L102" i="1"/>
  <c r="O102" i="1"/>
  <c r="P102" i="1"/>
  <c r="F101" i="1"/>
  <c r="G101" i="1"/>
  <c r="H101" i="1"/>
  <c r="I101" i="1"/>
  <c r="J101" i="1"/>
  <c r="K101" i="1"/>
  <c r="L101" i="1"/>
  <c r="O101" i="1"/>
  <c r="P101" i="1"/>
  <c r="F36" i="1"/>
  <c r="G36" i="1"/>
  <c r="H36" i="1"/>
  <c r="I36" i="1"/>
  <c r="J36" i="1"/>
  <c r="K36" i="1"/>
  <c r="L36" i="1"/>
  <c r="O36" i="1"/>
  <c r="P36" i="1"/>
  <c r="F39" i="1"/>
  <c r="G39" i="1"/>
  <c r="H39" i="1"/>
  <c r="I39" i="1"/>
  <c r="J39" i="1"/>
  <c r="K39" i="1"/>
  <c r="L39" i="1"/>
  <c r="O39" i="1"/>
  <c r="P39" i="1"/>
  <c r="F38" i="1"/>
  <c r="G38" i="1"/>
  <c r="H38" i="1"/>
  <c r="I38" i="1"/>
  <c r="J38" i="1"/>
  <c r="K38" i="1"/>
  <c r="L38" i="1"/>
  <c r="O38" i="1"/>
  <c r="P38" i="1"/>
  <c r="F35" i="1"/>
  <c r="G35" i="1"/>
  <c r="H35" i="1"/>
  <c r="I35" i="1"/>
  <c r="J35" i="1"/>
  <c r="K35" i="1"/>
  <c r="L35" i="1"/>
  <c r="O35" i="1"/>
  <c r="P35" i="1"/>
  <c r="F85" i="1"/>
  <c r="G85" i="1"/>
  <c r="H85" i="1"/>
  <c r="I85" i="1"/>
  <c r="J85" i="1"/>
  <c r="K85" i="1"/>
  <c r="L85" i="1"/>
  <c r="O85" i="1"/>
  <c r="P85" i="1"/>
  <c r="F30" i="1"/>
  <c r="G30" i="1"/>
  <c r="H30" i="1"/>
  <c r="I30" i="1"/>
  <c r="J30" i="1"/>
  <c r="K30" i="1"/>
  <c r="L30" i="1"/>
  <c r="O30" i="1"/>
  <c r="P30" i="1"/>
  <c r="F34" i="1"/>
  <c r="G34" i="1"/>
  <c r="H34" i="1"/>
  <c r="I34" i="1"/>
  <c r="J34" i="1"/>
  <c r="K34" i="1"/>
  <c r="L34" i="1"/>
  <c r="O34" i="1"/>
  <c r="P34" i="1"/>
  <c r="F33" i="1"/>
  <c r="G33" i="1"/>
  <c r="H33" i="1"/>
  <c r="I33" i="1"/>
  <c r="J33" i="1"/>
  <c r="K33" i="1"/>
  <c r="L33" i="1"/>
  <c r="O33" i="1"/>
  <c r="P33" i="1"/>
  <c r="F32" i="1"/>
  <c r="G32" i="1"/>
  <c r="H32" i="1"/>
  <c r="I32" i="1"/>
  <c r="J32" i="1"/>
  <c r="K32" i="1"/>
  <c r="L32" i="1"/>
  <c r="O32" i="1"/>
  <c r="P32" i="1"/>
  <c r="F31" i="1"/>
  <c r="G31" i="1"/>
  <c r="H31" i="1"/>
  <c r="I31" i="1"/>
  <c r="J31" i="1"/>
  <c r="K31" i="1"/>
  <c r="L31" i="1"/>
  <c r="O31" i="1"/>
  <c r="P31" i="1"/>
  <c r="F100" i="1"/>
  <c r="G100" i="1"/>
  <c r="H100" i="1"/>
  <c r="I100" i="1"/>
  <c r="J100" i="1"/>
  <c r="K100" i="1"/>
  <c r="L100" i="1"/>
  <c r="O100" i="1"/>
  <c r="P100" i="1"/>
  <c r="F15" i="1"/>
  <c r="G15" i="1"/>
  <c r="H15" i="1"/>
  <c r="I15" i="1"/>
  <c r="J15" i="1"/>
  <c r="K15" i="1"/>
  <c r="L15" i="1"/>
  <c r="O15" i="1"/>
  <c r="P15" i="1"/>
  <c r="P12" i="1"/>
  <c r="P13" i="1"/>
  <c r="P14" i="1"/>
  <c r="P16" i="1"/>
  <c r="P17" i="1"/>
  <c r="P18" i="1"/>
  <c r="P19" i="1"/>
  <c r="P22" i="1"/>
  <c r="P23" i="1"/>
  <c r="P24" i="1"/>
  <c r="P25" i="1"/>
  <c r="P26" i="1"/>
  <c r="P27" i="1"/>
  <c r="P28" i="1"/>
  <c r="P29" i="1"/>
  <c r="P37" i="1"/>
  <c r="P46" i="1"/>
  <c r="P47" i="1"/>
  <c r="P48" i="1"/>
  <c r="P49" i="1"/>
  <c r="P50" i="1"/>
  <c r="P51" i="1"/>
  <c r="P52" i="1"/>
  <c r="P53" i="1"/>
  <c r="P54" i="1"/>
  <c r="P55" i="1"/>
  <c r="P56" i="1"/>
  <c r="P57" i="1"/>
  <c r="P58" i="1"/>
  <c r="P59" i="1"/>
  <c r="P60" i="1"/>
  <c r="P61" i="1"/>
  <c r="P62" i="1"/>
  <c r="P63" i="1"/>
  <c r="P64" i="1"/>
  <c r="P65" i="1"/>
  <c r="P66" i="1"/>
  <c r="P67" i="1"/>
  <c r="P68" i="1"/>
  <c r="P71" i="1"/>
  <c r="P72" i="1"/>
  <c r="P73" i="1"/>
  <c r="P74" i="1"/>
  <c r="P75" i="1"/>
  <c r="P76" i="1"/>
  <c r="P77" i="1"/>
  <c r="P80" i="1"/>
  <c r="P81" i="1"/>
  <c r="P82" i="1"/>
  <c r="P86" i="1"/>
  <c r="P88" i="1"/>
  <c r="P89" i="1"/>
  <c r="P90" i="1"/>
  <c r="P92" i="1"/>
  <c r="P93" i="1"/>
  <c r="P94" i="1"/>
  <c r="P95" i="1"/>
  <c r="P96" i="1"/>
  <c r="P99" i="1"/>
  <c r="P113" i="1"/>
  <c r="P114" i="1"/>
  <c r="P115" i="1"/>
  <c r="P116" i="1"/>
  <c r="P117" i="1"/>
  <c r="P118" i="1"/>
  <c r="P119" i="1"/>
  <c r="P120" i="1"/>
  <c r="P121" i="1"/>
  <c r="P122" i="1"/>
  <c r="P123" i="1"/>
  <c r="P124" i="1"/>
  <c r="P125" i="1"/>
  <c r="P126" i="1"/>
  <c r="P127" i="1"/>
  <c r="P128" i="1"/>
  <c r="P129" i="1"/>
  <c r="P130" i="1"/>
  <c r="P131" i="1"/>
  <c r="P132" i="1"/>
  <c r="P4" i="1"/>
  <c r="P5" i="1"/>
  <c r="P6" i="1"/>
  <c r="P11" i="1"/>
  <c r="P3" i="1"/>
  <c r="O3" i="1"/>
  <c r="F14" i="1"/>
  <c r="G14" i="1"/>
  <c r="H14" i="1"/>
  <c r="I14" i="1"/>
  <c r="J14" i="1"/>
  <c r="K14" i="1"/>
  <c r="L14" i="1"/>
  <c r="O14" i="1"/>
  <c r="F17" i="1"/>
  <c r="G17" i="1"/>
  <c r="H17" i="1"/>
  <c r="I17" i="1"/>
  <c r="J17" i="1"/>
  <c r="K17" i="1"/>
  <c r="L17" i="1"/>
  <c r="O17" i="1"/>
  <c r="F19" i="1"/>
  <c r="G19" i="1"/>
  <c r="H19" i="1"/>
  <c r="I19" i="1"/>
  <c r="J19" i="1"/>
  <c r="K19" i="1"/>
  <c r="L19" i="1"/>
  <c r="O19" i="1"/>
  <c r="F18" i="1"/>
  <c r="G18" i="1"/>
  <c r="H18" i="1"/>
  <c r="I18" i="1"/>
  <c r="J18" i="1"/>
  <c r="K18" i="1"/>
  <c r="L18" i="1"/>
  <c r="O18" i="1"/>
  <c r="F99" i="1"/>
  <c r="G99" i="1"/>
  <c r="H99" i="1"/>
  <c r="I99" i="1"/>
  <c r="J99" i="1"/>
  <c r="K99" i="1"/>
  <c r="L99" i="1"/>
  <c r="O99" i="1"/>
  <c r="F6" i="1"/>
  <c r="G6" i="1"/>
  <c r="H6" i="1"/>
  <c r="I6" i="1"/>
  <c r="J6" i="1"/>
  <c r="K6" i="1"/>
  <c r="L6" i="1"/>
  <c r="O6" i="1"/>
  <c r="O5" i="1"/>
  <c r="L5" i="1"/>
  <c r="K5" i="1"/>
  <c r="J5" i="1"/>
  <c r="I5" i="1"/>
  <c r="H5" i="1"/>
  <c r="G5" i="1"/>
  <c r="F5" i="1"/>
  <c r="J12" i="1"/>
  <c r="J13" i="1"/>
  <c r="J16" i="1"/>
  <c r="J22" i="1"/>
  <c r="J23" i="1"/>
  <c r="J24" i="1"/>
  <c r="J25" i="1"/>
  <c r="J26" i="1"/>
  <c r="J27" i="1"/>
  <c r="J28" i="1"/>
  <c r="J29" i="1"/>
  <c r="J37" i="1"/>
  <c r="J46" i="1"/>
  <c r="J47" i="1"/>
  <c r="J48" i="1"/>
  <c r="J49" i="1"/>
  <c r="J50" i="1"/>
  <c r="J51" i="1"/>
  <c r="J52" i="1"/>
  <c r="J53" i="1"/>
  <c r="J54" i="1"/>
  <c r="J55" i="1"/>
  <c r="J56" i="1"/>
  <c r="J57" i="1"/>
  <c r="J58" i="1"/>
  <c r="J59" i="1"/>
  <c r="J60" i="1"/>
  <c r="J61" i="1"/>
  <c r="J62" i="1"/>
  <c r="J63" i="1"/>
  <c r="J64" i="1"/>
  <c r="J65" i="1"/>
  <c r="J66" i="1"/>
  <c r="J67" i="1"/>
  <c r="J68" i="1"/>
  <c r="J71" i="1"/>
  <c r="J72" i="1"/>
  <c r="J73" i="1"/>
  <c r="J74" i="1"/>
  <c r="J75" i="1"/>
  <c r="J76" i="1"/>
  <c r="J77" i="1"/>
  <c r="J80" i="1"/>
  <c r="J81" i="1"/>
  <c r="J82" i="1"/>
  <c r="J86" i="1"/>
  <c r="J88" i="1"/>
  <c r="J89" i="1"/>
  <c r="J90" i="1"/>
  <c r="J92" i="1"/>
  <c r="J93" i="1"/>
  <c r="J94" i="1"/>
  <c r="J95" i="1"/>
  <c r="J96" i="1"/>
  <c r="J113" i="1"/>
  <c r="J114" i="1"/>
  <c r="J115" i="1"/>
  <c r="J116" i="1"/>
  <c r="J117" i="1"/>
  <c r="J118" i="1"/>
  <c r="J119" i="1"/>
  <c r="J120" i="1"/>
  <c r="J121" i="1"/>
  <c r="J122" i="1"/>
  <c r="J123" i="1"/>
  <c r="J124" i="1"/>
  <c r="J125" i="1"/>
  <c r="J126" i="1"/>
  <c r="J127" i="1"/>
  <c r="J128" i="1"/>
  <c r="J129" i="1"/>
  <c r="J130" i="1"/>
  <c r="J131" i="1"/>
  <c r="J132" i="1"/>
  <c r="J11" i="1"/>
  <c r="J4" i="1"/>
  <c r="B68" i="2"/>
  <c r="B67" i="2"/>
  <c r="B64" i="2"/>
  <c r="B51" i="2"/>
  <c r="B55" i="2"/>
  <c r="B60" i="2"/>
  <c r="B66" i="2"/>
  <c r="B63" i="2"/>
  <c r="B54" i="2"/>
  <c r="B59" i="2"/>
  <c r="B65" i="2"/>
  <c r="B45" i="2"/>
  <c r="F114" i="1"/>
  <c r="G114" i="1"/>
  <c r="H114" i="1"/>
  <c r="I114" i="1"/>
  <c r="K114" i="1"/>
  <c r="L114" i="1"/>
  <c r="O114" i="1"/>
  <c r="F115" i="1"/>
  <c r="G115" i="1"/>
  <c r="H115" i="1"/>
  <c r="I115" i="1"/>
  <c r="K115" i="1"/>
  <c r="L115" i="1"/>
  <c r="O115" i="1"/>
  <c r="F116" i="1"/>
  <c r="G116" i="1"/>
  <c r="H116" i="1"/>
  <c r="I116" i="1"/>
  <c r="K116" i="1"/>
  <c r="L116" i="1"/>
  <c r="O116" i="1"/>
  <c r="F117" i="1"/>
  <c r="G117" i="1"/>
  <c r="H117" i="1"/>
  <c r="I117" i="1"/>
  <c r="K117" i="1"/>
  <c r="L117" i="1"/>
  <c r="O117" i="1"/>
  <c r="F118" i="1"/>
  <c r="G118" i="1"/>
  <c r="H118" i="1"/>
  <c r="I118" i="1"/>
  <c r="K118" i="1"/>
  <c r="L118" i="1"/>
  <c r="O118" i="1"/>
  <c r="F119" i="1"/>
  <c r="G119" i="1"/>
  <c r="H119" i="1"/>
  <c r="I119" i="1"/>
  <c r="K119" i="1"/>
  <c r="L119" i="1"/>
  <c r="O119" i="1"/>
  <c r="F120" i="1"/>
  <c r="G120" i="1"/>
  <c r="H120" i="1"/>
  <c r="I120" i="1"/>
  <c r="K120" i="1"/>
  <c r="L120" i="1"/>
  <c r="O120" i="1"/>
  <c r="F121" i="1"/>
  <c r="G121" i="1"/>
  <c r="H121" i="1"/>
  <c r="I121" i="1"/>
  <c r="K121" i="1"/>
  <c r="L121" i="1"/>
  <c r="O121" i="1"/>
  <c r="F122" i="1"/>
  <c r="G122" i="1"/>
  <c r="H122" i="1"/>
  <c r="I122" i="1"/>
  <c r="K122" i="1"/>
  <c r="L122" i="1"/>
  <c r="O122" i="1"/>
  <c r="F123" i="1"/>
  <c r="G123" i="1"/>
  <c r="H123" i="1"/>
  <c r="I123" i="1"/>
  <c r="K123" i="1"/>
  <c r="L123" i="1"/>
  <c r="O123" i="1"/>
  <c r="F124" i="1"/>
  <c r="G124" i="1"/>
  <c r="H124" i="1"/>
  <c r="I124" i="1"/>
  <c r="K124" i="1"/>
  <c r="L124" i="1"/>
  <c r="O124" i="1"/>
  <c r="F125" i="1"/>
  <c r="G125" i="1"/>
  <c r="H125" i="1"/>
  <c r="I125" i="1"/>
  <c r="K125" i="1"/>
  <c r="L125" i="1"/>
  <c r="O125" i="1"/>
  <c r="F126" i="1"/>
  <c r="G126" i="1"/>
  <c r="H126" i="1"/>
  <c r="I126" i="1"/>
  <c r="K126" i="1"/>
  <c r="L126" i="1"/>
  <c r="O126" i="1"/>
  <c r="F127" i="1"/>
  <c r="G127" i="1"/>
  <c r="H127" i="1"/>
  <c r="I127" i="1"/>
  <c r="K127" i="1"/>
  <c r="L127" i="1"/>
  <c r="O127" i="1"/>
  <c r="F128" i="1"/>
  <c r="G128" i="1"/>
  <c r="H128" i="1"/>
  <c r="I128" i="1"/>
  <c r="K128" i="1"/>
  <c r="L128" i="1"/>
  <c r="O128" i="1"/>
  <c r="F129" i="1"/>
  <c r="G129" i="1"/>
  <c r="H129" i="1"/>
  <c r="I129" i="1"/>
  <c r="K129" i="1"/>
  <c r="L129" i="1"/>
  <c r="O129" i="1"/>
  <c r="F130" i="1"/>
  <c r="G130" i="1"/>
  <c r="H130" i="1"/>
  <c r="I130" i="1"/>
  <c r="K130" i="1"/>
  <c r="L130" i="1"/>
  <c r="O130" i="1"/>
  <c r="F131" i="1"/>
  <c r="G131" i="1"/>
  <c r="H131" i="1"/>
  <c r="I131" i="1"/>
  <c r="K131" i="1"/>
  <c r="L131" i="1"/>
  <c r="O131" i="1"/>
  <c r="F132" i="1"/>
  <c r="G132" i="1"/>
  <c r="H132" i="1"/>
  <c r="I132" i="1"/>
  <c r="K132" i="1"/>
  <c r="L132" i="1"/>
  <c r="O132" i="1"/>
  <c r="O113" i="1"/>
  <c r="L113" i="1"/>
  <c r="K113" i="1"/>
  <c r="I113" i="1"/>
  <c r="H113" i="1"/>
  <c r="G113" i="1"/>
  <c r="F113" i="1"/>
  <c r="O16" i="1"/>
  <c r="O22" i="1"/>
  <c r="O23" i="1"/>
  <c r="O24" i="1"/>
  <c r="O25" i="1"/>
  <c r="O26" i="1"/>
  <c r="O27" i="1"/>
  <c r="O28" i="1"/>
  <c r="O29" i="1"/>
  <c r="O37" i="1"/>
  <c r="O46" i="1"/>
  <c r="O47" i="1"/>
  <c r="O48" i="1"/>
  <c r="O49" i="1"/>
  <c r="O50" i="1"/>
  <c r="O51" i="1"/>
  <c r="O52" i="1"/>
  <c r="O53" i="1"/>
  <c r="O54" i="1"/>
  <c r="O55" i="1"/>
  <c r="O56" i="1"/>
  <c r="O57" i="1"/>
  <c r="O58" i="1"/>
  <c r="O59" i="1"/>
  <c r="O60" i="1"/>
  <c r="O61" i="1"/>
  <c r="O62" i="1"/>
  <c r="O63" i="1"/>
  <c r="O64" i="1"/>
  <c r="O65" i="1"/>
  <c r="O66" i="1"/>
  <c r="O67" i="1"/>
  <c r="O68" i="1"/>
  <c r="O71" i="1"/>
  <c r="O72" i="1"/>
  <c r="O73" i="1"/>
  <c r="O74" i="1"/>
  <c r="O75" i="1"/>
  <c r="O76" i="1"/>
  <c r="O77" i="1"/>
  <c r="O80" i="1"/>
  <c r="O81" i="1"/>
  <c r="O82" i="1"/>
  <c r="O86" i="1"/>
  <c r="O88" i="1"/>
  <c r="O89" i="1"/>
  <c r="O90" i="1"/>
  <c r="O92" i="1"/>
  <c r="O93" i="1"/>
  <c r="O94" i="1"/>
  <c r="O95" i="1"/>
  <c r="O96" i="1"/>
  <c r="O4" i="1"/>
  <c r="O11" i="1"/>
  <c r="O12" i="1"/>
  <c r="O13" i="1"/>
  <c r="F92" i="1"/>
  <c r="G92" i="1"/>
  <c r="H92" i="1"/>
  <c r="I92" i="1"/>
  <c r="K92" i="1"/>
  <c r="L92" i="1"/>
  <c r="F93" i="1"/>
  <c r="G93" i="1"/>
  <c r="H93" i="1"/>
  <c r="I93" i="1"/>
  <c r="K93" i="1"/>
  <c r="L93" i="1"/>
  <c r="F95" i="1"/>
  <c r="G95" i="1"/>
  <c r="H95" i="1"/>
  <c r="I95" i="1"/>
  <c r="K95" i="1"/>
  <c r="L95" i="1"/>
  <c r="F94" i="1"/>
  <c r="F82" i="1"/>
  <c r="G82" i="1"/>
  <c r="H82" i="1"/>
  <c r="I82" i="1"/>
  <c r="K82" i="1"/>
  <c r="L82" i="1"/>
  <c r="L96" i="1"/>
  <c r="K96" i="1"/>
  <c r="I96" i="1"/>
  <c r="H96" i="1"/>
  <c r="G96" i="1"/>
  <c r="F96" i="1"/>
  <c r="F86" i="1"/>
  <c r="G86" i="1"/>
  <c r="H86" i="1"/>
  <c r="I86" i="1"/>
  <c r="K86" i="1"/>
  <c r="L86" i="1"/>
  <c r="F88" i="1"/>
  <c r="G88" i="1"/>
  <c r="H88" i="1"/>
  <c r="I88" i="1"/>
  <c r="K88" i="1"/>
  <c r="L88" i="1"/>
  <c r="F89" i="1"/>
  <c r="G89" i="1"/>
  <c r="H89" i="1"/>
  <c r="I89" i="1"/>
  <c r="K89" i="1"/>
  <c r="L89" i="1"/>
  <c r="F90" i="1"/>
  <c r="G90" i="1"/>
  <c r="H90" i="1"/>
  <c r="I90" i="1"/>
  <c r="K90" i="1"/>
  <c r="L90" i="1"/>
  <c r="G94" i="1"/>
  <c r="H94" i="1"/>
  <c r="I94" i="1"/>
  <c r="K94" i="1"/>
  <c r="L94" i="1"/>
  <c r="F81" i="1"/>
  <c r="G81" i="1"/>
  <c r="H81" i="1"/>
  <c r="I81" i="1"/>
  <c r="K81" i="1"/>
  <c r="L81" i="1"/>
  <c r="F80" i="1"/>
  <c r="G80" i="1"/>
  <c r="H80" i="1"/>
  <c r="I80" i="1"/>
  <c r="K80" i="1"/>
  <c r="L80" i="1"/>
  <c r="L72" i="1"/>
  <c r="K72" i="1"/>
  <c r="I72" i="1"/>
  <c r="H72" i="1"/>
  <c r="G72" i="1"/>
  <c r="F72" i="1"/>
  <c r="F77" i="1"/>
  <c r="G77" i="1"/>
  <c r="H77" i="1"/>
  <c r="I77" i="1"/>
  <c r="K77" i="1"/>
  <c r="L77" i="1"/>
  <c r="F16" i="1"/>
  <c r="G16" i="1"/>
  <c r="H16" i="1"/>
  <c r="I16" i="1"/>
  <c r="K16" i="1"/>
  <c r="L16" i="1"/>
  <c r="L37" i="1"/>
  <c r="K37" i="1"/>
  <c r="I37" i="1"/>
  <c r="H37" i="1"/>
  <c r="G37" i="1"/>
  <c r="F37" i="1"/>
  <c r="L29" i="1"/>
  <c r="K29" i="1"/>
  <c r="I29" i="1"/>
  <c r="H29" i="1"/>
  <c r="G29" i="1"/>
  <c r="F29" i="1"/>
  <c r="F46" i="1"/>
  <c r="G46" i="1"/>
  <c r="H46" i="1"/>
  <c r="I46" i="1"/>
  <c r="K46" i="1"/>
  <c r="L46" i="1"/>
  <c r="F47" i="1"/>
  <c r="G47" i="1"/>
  <c r="H47" i="1"/>
  <c r="I47" i="1"/>
  <c r="K47" i="1"/>
  <c r="L47" i="1"/>
  <c r="F48" i="1"/>
  <c r="G48" i="1"/>
  <c r="H48" i="1"/>
  <c r="I48" i="1"/>
  <c r="K48" i="1"/>
  <c r="L48" i="1"/>
  <c r="F49" i="1"/>
  <c r="G49" i="1"/>
  <c r="H49" i="1"/>
  <c r="I49" i="1"/>
  <c r="K49" i="1"/>
  <c r="L49" i="1"/>
  <c r="F50" i="1"/>
  <c r="G50" i="1"/>
  <c r="H50" i="1"/>
  <c r="I50" i="1"/>
  <c r="K50" i="1"/>
  <c r="L50" i="1"/>
  <c r="F62" i="1"/>
  <c r="G62" i="1"/>
  <c r="H62" i="1"/>
  <c r="I62" i="1"/>
  <c r="K62" i="1"/>
  <c r="L62" i="1"/>
  <c r="F61" i="1"/>
  <c r="G61" i="1"/>
  <c r="H61" i="1"/>
  <c r="I61" i="1"/>
  <c r="K61" i="1"/>
  <c r="L61" i="1"/>
  <c r="F60" i="1"/>
  <c r="G60" i="1"/>
  <c r="H60" i="1"/>
  <c r="I60" i="1"/>
  <c r="K60" i="1"/>
  <c r="L60" i="1"/>
  <c r="F74" i="1"/>
  <c r="G74" i="1"/>
  <c r="H74" i="1"/>
  <c r="I74" i="1"/>
  <c r="K74" i="1"/>
  <c r="L74" i="1"/>
  <c r="F76" i="1"/>
  <c r="G76" i="1"/>
  <c r="H76" i="1"/>
  <c r="I76" i="1"/>
  <c r="K76" i="1"/>
  <c r="L76" i="1"/>
  <c r="F73" i="1"/>
  <c r="G73" i="1"/>
  <c r="H73" i="1"/>
  <c r="I73" i="1"/>
  <c r="K73" i="1"/>
  <c r="L73" i="1"/>
  <c r="F71" i="1"/>
  <c r="G71" i="1"/>
  <c r="H71" i="1"/>
  <c r="I71" i="1"/>
  <c r="K71" i="1"/>
  <c r="L71" i="1"/>
  <c r="F65" i="1"/>
  <c r="G65" i="1"/>
  <c r="H65" i="1"/>
  <c r="I65" i="1"/>
  <c r="K65" i="1"/>
  <c r="L65" i="1"/>
  <c r="F66" i="1"/>
  <c r="G66" i="1"/>
  <c r="H66" i="1"/>
  <c r="I66" i="1"/>
  <c r="K66" i="1"/>
  <c r="L66" i="1"/>
  <c r="F67" i="1"/>
  <c r="G67" i="1"/>
  <c r="H67" i="1"/>
  <c r="I67" i="1"/>
  <c r="K67" i="1"/>
  <c r="L67" i="1"/>
  <c r="F68" i="1"/>
  <c r="G68" i="1"/>
  <c r="H68" i="1"/>
  <c r="I68" i="1"/>
  <c r="K68" i="1"/>
  <c r="L68" i="1"/>
  <c r="G4" i="1"/>
  <c r="H4" i="1"/>
  <c r="I4" i="1"/>
  <c r="K4" i="1"/>
  <c r="L4" i="1"/>
  <c r="F12" i="1"/>
  <c r="G12" i="1"/>
  <c r="H12" i="1"/>
  <c r="I12" i="1"/>
  <c r="K12" i="1"/>
  <c r="L12" i="1"/>
  <c r="F13" i="1"/>
  <c r="G13" i="1"/>
  <c r="H13" i="1"/>
  <c r="I13" i="1"/>
  <c r="K13" i="1"/>
  <c r="L13" i="1"/>
  <c r="F22" i="1"/>
  <c r="G22" i="1"/>
  <c r="H22" i="1"/>
  <c r="I22" i="1"/>
  <c r="K22" i="1"/>
  <c r="L22" i="1"/>
  <c r="F23" i="1"/>
  <c r="G23" i="1"/>
  <c r="H23" i="1"/>
  <c r="I23" i="1"/>
  <c r="K23" i="1"/>
  <c r="L23" i="1"/>
  <c r="F24" i="1"/>
  <c r="G24" i="1"/>
  <c r="H24" i="1"/>
  <c r="I24" i="1"/>
  <c r="K24" i="1"/>
  <c r="L24" i="1"/>
  <c r="F25" i="1"/>
  <c r="G25" i="1"/>
  <c r="H25" i="1"/>
  <c r="I25" i="1"/>
  <c r="K25" i="1"/>
  <c r="L25" i="1"/>
  <c r="F26" i="1"/>
  <c r="G26" i="1"/>
  <c r="H26" i="1"/>
  <c r="I26" i="1"/>
  <c r="K26" i="1"/>
  <c r="L26" i="1"/>
  <c r="F27" i="1"/>
  <c r="G27" i="1"/>
  <c r="H27" i="1"/>
  <c r="I27" i="1"/>
  <c r="K27" i="1"/>
  <c r="L27" i="1"/>
  <c r="F28" i="1"/>
  <c r="G28" i="1"/>
  <c r="H28" i="1"/>
  <c r="I28" i="1"/>
  <c r="K28" i="1"/>
  <c r="L28" i="1"/>
  <c r="F75" i="1"/>
  <c r="G75" i="1"/>
  <c r="H75" i="1"/>
  <c r="I75" i="1"/>
  <c r="K75" i="1"/>
  <c r="L75" i="1"/>
  <c r="F51" i="1"/>
  <c r="G51" i="1"/>
  <c r="H51" i="1"/>
  <c r="I51" i="1"/>
  <c r="K51" i="1"/>
  <c r="L51" i="1"/>
  <c r="F52" i="1"/>
  <c r="G52" i="1"/>
  <c r="H52" i="1"/>
  <c r="I52" i="1"/>
  <c r="K52" i="1"/>
  <c r="L52" i="1"/>
  <c r="F53" i="1"/>
  <c r="G53" i="1"/>
  <c r="H53" i="1"/>
  <c r="I53" i="1"/>
  <c r="K53" i="1"/>
  <c r="L53" i="1"/>
  <c r="F54" i="1"/>
  <c r="G54" i="1"/>
  <c r="H54" i="1"/>
  <c r="I54" i="1"/>
  <c r="K54" i="1"/>
  <c r="L54" i="1"/>
  <c r="F55" i="1"/>
  <c r="G55" i="1"/>
  <c r="H55" i="1"/>
  <c r="I55" i="1"/>
  <c r="K55" i="1"/>
  <c r="L55" i="1"/>
  <c r="F56" i="1"/>
  <c r="G56" i="1"/>
  <c r="H56" i="1"/>
  <c r="I56" i="1"/>
  <c r="K56" i="1"/>
  <c r="L56" i="1"/>
  <c r="F57" i="1"/>
  <c r="G57" i="1"/>
  <c r="H57" i="1"/>
  <c r="I57" i="1"/>
  <c r="K57" i="1"/>
  <c r="L57" i="1"/>
  <c r="F58" i="1"/>
  <c r="G58" i="1"/>
  <c r="H58" i="1"/>
  <c r="I58" i="1"/>
  <c r="K58" i="1"/>
  <c r="L58" i="1"/>
  <c r="F59" i="1"/>
  <c r="G59" i="1"/>
  <c r="H59" i="1"/>
  <c r="I59" i="1"/>
  <c r="K59" i="1"/>
  <c r="L59" i="1"/>
  <c r="F63" i="1"/>
  <c r="G63" i="1"/>
  <c r="H63" i="1"/>
  <c r="I63" i="1"/>
  <c r="K63" i="1"/>
  <c r="L63" i="1"/>
  <c r="F64" i="1"/>
  <c r="G64" i="1"/>
  <c r="H64" i="1"/>
  <c r="I64" i="1"/>
  <c r="K64" i="1"/>
  <c r="L64" i="1"/>
  <c r="L11" i="1"/>
  <c r="K11" i="1"/>
  <c r="I11" i="1"/>
  <c r="H11" i="1"/>
  <c r="G11" i="1"/>
  <c r="F11" i="1"/>
</calcChain>
</file>

<file path=xl/sharedStrings.xml><?xml version="1.0" encoding="utf-8"?>
<sst xmlns="http://schemas.openxmlformats.org/spreadsheetml/2006/main" count="339" uniqueCount="258">
  <si>
    <t>Source</t>
  </si>
  <si>
    <t>LED Bulbs</t>
  </si>
  <si>
    <t>1lb CO2</t>
  </si>
  <si>
    <t>Equiv. Gal. Gasoline</t>
  </si>
  <si>
    <t>Equiv lbs. coal</t>
  </si>
  <si>
    <t>Equiv Miles Driven</t>
  </si>
  <si>
    <t>Equiv Lbs. CO2</t>
  </si>
  <si>
    <t>Avg Daily Commute</t>
  </si>
  <si>
    <t>Weekly Commute</t>
  </si>
  <si>
    <t>Annual Commute</t>
  </si>
  <si>
    <t>Serving of Beef</t>
  </si>
  <si>
    <t>Serving of Asparagus</t>
  </si>
  <si>
    <t xml:space="preserve">Serving of Pork </t>
  </si>
  <si>
    <t>Serving of Poultry</t>
  </si>
  <si>
    <t>1 kWh of energy</t>
  </si>
  <si>
    <t>Glass of Milk</t>
  </si>
  <si>
    <t>Glass of Juice</t>
  </si>
  <si>
    <t>Serving of Carrots</t>
  </si>
  <si>
    <t>Coffee Maker (30 min/day/yr)</t>
  </si>
  <si>
    <t>Ceiling Fan (nonstop for 90 days)</t>
  </si>
  <si>
    <t>Desktop PC (40 hrs per week)</t>
  </si>
  <si>
    <t>Laptop/Notebook PC (40 hrs/wk)</t>
  </si>
  <si>
    <t>Hairdyer (5 min/day)</t>
  </si>
  <si>
    <t>Microwave (20 min/day)</t>
  </si>
  <si>
    <t>Internet Router (24 hrs/day)</t>
  </si>
  <si>
    <t>40" HDTV (6 hrs/day)</t>
  </si>
  <si>
    <t>Plasma TV (6 hrs/day)</t>
  </si>
  <si>
    <t>LCD TV (6 hrs/day)</t>
  </si>
  <si>
    <t>Dishwasher (1 hr/day)</t>
  </si>
  <si>
    <t>Refrigerator (24 hrs/day)</t>
  </si>
  <si>
    <t>Slow Cooker (16 hrs/mo.)</t>
  </si>
  <si>
    <t>Space Heater (24 hrs/day 3 mo)</t>
  </si>
  <si>
    <t>Vacuum (1 hr/week)</t>
  </si>
  <si>
    <t>Water Heater (avg use)</t>
  </si>
  <si>
    <t>Iron (avg use)</t>
  </si>
  <si>
    <t>Air Conditioner Window Unit (3 mo's)</t>
  </si>
  <si>
    <t>Central Air (3 mo's avg use)</t>
  </si>
  <si>
    <t>Central Air (6 mo's avg use)</t>
  </si>
  <si>
    <t>Ceiling Fan (nonstop for 6 mo)</t>
  </si>
  <si>
    <t>Garage Door Opener (4x/day)</t>
  </si>
  <si>
    <t xml:space="preserve">Electric Range/Oven (1 yr, 12,200 watts) </t>
  </si>
  <si>
    <t>14 cu ft chest freezer (24 hrs/365 days)</t>
  </si>
  <si>
    <t>Side by Side Refridg &amp; Freezer  (24 hrs/365 days)</t>
  </si>
  <si>
    <t>Transportation</t>
  </si>
  <si>
    <t>Average Annual Miles Flown (1424.1 miles)</t>
  </si>
  <si>
    <t>Non-recycled trash (avg 1058.5 lbs/year/person)</t>
  </si>
  <si>
    <t>kWh of appliances - https://energy.gov/energysaver/estimating-appliance-and-home-electronic-energy-use</t>
  </si>
  <si>
    <t>avg use of appliances - http://www.txspc.com/documents/WattageAppliance.pdf </t>
  </si>
  <si>
    <t>Food consumption - https://www.ers.usda.gov/Data/FoodConsumption/ &amp; http://www.nationalchickencouncil.org/about-the-industry/statistics/per-capita-consumption-of-poultry-and-livestock-1965-to-estimated-2012-in-pounds/</t>
  </si>
  <si>
    <t>Trash per person - https://archive.epa.gov/epawaste/nonhaz/municipal/web/html/</t>
  </si>
  <si>
    <t>CO2 per ton of landfill waste - https://www.epa.gov/warm </t>
  </si>
  <si>
    <t>lbs. CO2 per serving (http://css.umich.edu/factsheets/carbon-footprint-factsheet)</t>
  </si>
  <si>
    <t>flight data - https://www.rita.dot.gov/bts/press_releases/bts015_15)</t>
  </si>
  <si>
    <t>Commute data - https://www.rita.dot.gov/bts/sites/rita.dot.gov.bts/files/publications/omnistats/volume_03_issue_04/pdf/entire.pdf</t>
  </si>
  <si>
    <t>Air Conditioner Window Unit (6 mo's)</t>
  </si>
  <si>
    <t>Clothes Washer (6 hrs/week)</t>
  </si>
  <si>
    <t>Clothes Dryer (7 hrs/week)</t>
  </si>
  <si>
    <t>Impact of Sustainable Behavioral Choices</t>
  </si>
  <si>
    <t>Carpooling to work with one other person (1 yr)</t>
  </si>
  <si>
    <t>Carpooling to work w/ 2 other people (1 yr)</t>
  </si>
  <si>
    <t>Biking/walking to work for one year</t>
  </si>
  <si>
    <t>Avg Household Electrical Use - https://www.eia.gov/tools/faqs/faq.php?id=97&amp;t=3</t>
  </si>
  <si>
    <t>Switching a home's energy to carbon-neutral energy</t>
  </si>
  <si>
    <t>Eliminating red meat from your diet for one year</t>
  </si>
  <si>
    <t>Observing posted speed limits</t>
  </si>
  <si>
    <t>Eliminating beef from your diet for one year</t>
  </si>
  <si>
    <t>Choosing a 10% Renewable Energy Utility Option</t>
  </si>
  <si>
    <t>Using a clothesline instead of a dryer for 6 months</t>
  </si>
  <si>
    <t>Using a fan instead of AC (summer nights only)</t>
  </si>
  <si>
    <t>% Avg Annual Commute</t>
  </si>
  <si>
    <t>Average distance flown per passenger in miles (2014) - 1424.1 (https://www.rita.dot.gov/bts/press_releases/bts015_15)</t>
  </si>
  <si>
    <t>Avg Miles Flown Per Gallon (2014) - 0.58 (https://www.rita.dot.gov/bts/sites/rita.dot.gov.bts/files/publications/national_transportation_statistics/html/table_04_08.html)</t>
  </si>
  <si>
    <t>Number of Flights (2014) - 9,486,900  (https://www.rita.dot.gov/bts/press_releases/bts015_15)</t>
  </si>
  <si>
    <t>Number of Passengers (2014) - 848,100,000 ( (https://www.rita.dot.gov/bts/press_releases/bts015_15)) </t>
  </si>
  <si>
    <t>Avg. Number of Passengers per Flight (2014) - 89.4</t>
  </si>
  <si>
    <t>Gallons of fuel used per passenger 1424.1 miles x 0.58 mpg / 89.4 passengers = 9.2 gallons of fuel used per passenger in 2014</t>
  </si>
  <si>
    <t>Jet fuel creates 9.75 kg CO2 per gallon combusted (https://www.epa.gov/sites/production/files/2015-07/documents/emission-factors_2014.pdf)</t>
  </si>
  <si>
    <t>9.2 gallons of jet fuel would create 89.7 kg of CO2 or 197.8 lbs. of CO2/passenger</t>
  </si>
  <si>
    <t>School Data</t>
  </si>
  <si>
    <t>Riding a bus to school for one academic year</t>
  </si>
  <si>
    <t>School electricity from coal per student per year</t>
  </si>
  <si>
    <t>School electricity from NG per student per year</t>
  </si>
  <si>
    <t>Avg Students per K-12 School</t>
  </si>
  <si>
    <t>https://nces.ed.gov/pubs2001/overview/table05.asp</t>
  </si>
  <si>
    <t>% of students transported by bus</t>
  </si>
  <si>
    <t>https://nces.ed.gov/fastfacts/display.asp?id=67</t>
  </si>
  <si>
    <t>Avg students bused per school</t>
  </si>
  <si>
    <t>Avg Students per Bus</t>
  </si>
  <si>
    <t>http://www.americanschoolbuscouncil.org/issues/environmental-benefits</t>
  </si>
  <si>
    <t>Median Sq Ft of a US School (K-12)</t>
  </si>
  <si>
    <t>Source: https://www.energystar.gov/sites/default/files/tools/DataTrends_K12Schools_20150129.pdf</t>
  </si>
  <si>
    <t>Avg Elect Cost per K12 Sq Footage</t>
  </si>
  <si>
    <t>Source: https://www.xcelenergy.com/staticfiles/xe/Marketing/Managing-Energy-Costs-Schools.pdf</t>
  </si>
  <si>
    <t>Avg NG Cost per K12 Sq Footage</t>
  </si>
  <si>
    <t>Avg Annual K12 Electrical Use (kWh) per sq ft</t>
  </si>
  <si>
    <t>(Source: http://bea.touchstoneenergy.com/sites/beabea/files/PDF/Sector/Schools.pdf)</t>
  </si>
  <si>
    <t>Avg Annual k12 Electrical Use (kWh) per building</t>
  </si>
  <si>
    <t>(Math: 74,519 sq ft * 10 kWh per sq ft)</t>
  </si>
  <si>
    <t>Avg Percent of Electical Generation from Coal</t>
  </si>
  <si>
    <t>Source: https://www.eia.gov/tools/faqs/faq.php?id=427&amp;t=2</t>
  </si>
  <si>
    <t>Avg Percent of Electical Generation from Nat Gas</t>
  </si>
  <si>
    <t>Avg kWh from coal per school per year</t>
  </si>
  <si>
    <t>(Math: 745190 kWh/yr * 30.4%)</t>
  </si>
  <si>
    <t>Avg kWh from NG per school per year</t>
  </si>
  <si>
    <t>(Math: 745190 kWh/yr * 33.8%)</t>
  </si>
  <si>
    <t>1 ton coal = 2500 kWh electricity</t>
  </si>
  <si>
    <t>source: http://www.fe.doe.gov/education/energylessons/coal/How_Much_Does_It_Cost_to_Light_Your_Scho.pdf</t>
  </si>
  <si>
    <t>1 lb. coal = 1.25 kWh electricity</t>
  </si>
  <si>
    <t>1 cu ft NG = 0.3 kWh</t>
  </si>
  <si>
    <t>source: https://www.eia.gov/electricity/annual/html/epa_07_03.html (2015 data)</t>
  </si>
  <si>
    <t>Avg lbs of coal burned/yr for school electricity</t>
  </si>
  <si>
    <t>(Math: 226,537.6 kWh from coal / 1.25 kWh per lb. of coal burned)</t>
  </si>
  <si>
    <t>Avg cu ft NG burned/yr for school electricity</t>
  </si>
  <si>
    <t>(Math: 251874.22 kWh from NG/0.3 kWh per cu ft of NG burned)</t>
  </si>
  <si>
    <t>2000 lbs. coal = 5720 lbs CO2 - https://www.eia.gov/coal/production/quarterly/co2_article/co2.html</t>
  </si>
  <si>
    <t>1000 cu ft NG = 117 lbs CO2 - https://www.eia.gov/environment/emissions/co2_vol_mass.php</t>
  </si>
  <si>
    <t>CO2 produced per lb. of coal</t>
  </si>
  <si>
    <t>(Math: 5270 lbs. CO2 / 2000 lbs. coal)</t>
  </si>
  <si>
    <t>CO2 produced per cu ft of NG</t>
  </si>
  <si>
    <t>(Math: 117 lbs. CO2/1000 cu ft NG)</t>
  </si>
  <si>
    <t>Avg lbs. CO2 produced from coal for school elect/yr</t>
  </si>
  <si>
    <t>(Math: 181,230.208 lbs coal/yr *2.86 lbs CO2 per lb. of coal)</t>
  </si>
  <si>
    <t>Avg lbs. CO2 produced from NG for school elect/yr</t>
  </si>
  <si>
    <t>(Math: 839,580.733 cu ft of NG per year * 0.117 lbs CO2 per cu ft of NG)</t>
  </si>
  <si>
    <t>Avg annual tons CO2 produced from coal for school bldg electricity</t>
  </si>
  <si>
    <t>Avg annual tons CO2 produced from NG for school bldg electricity</t>
  </si>
  <si>
    <t>Equiv. lbs. Dry Wood</t>
  </si>
  <si>
    <t>Equiv. lbs. Living Wood</t>
  </si>
  <si>
    <t xml:space="preserve">Sq Ft of Forest Needed </t>
  </si>
  <si>
    <t>Baseline Data</t>
  </si>
  <si>
    <t>Dietary Considerations</t>
  </si>
  <si>
    <t>Household Appliance Use in 1 Year</t>
  </si>
  <si>
    <t>Waffle Iron (avg use)</t>
  </si>
  <si>
    <t>1 day of cellular respiration per person</t>
  </si>
  <si>
    <t>1 year of cellular respiration per person</t>
  </si>
  <si>
    <t>Taking a 5 minute shower (instead of a 10 min shower)</t>
  </si>
  <si>
    <t>Shower CO2 Data - http://www.epa.gov/cleanenergy/energy-resources/refs.html</t>
  </si>
  <si>
    <t>Roundtrip Flight, New York to Los Angeles</t>
  </si>
  <si>
    <t>Roundtrip Flight, Chicago to Paris</t>
  </si>
  <si>
    <t>Roundtrip Flight, Chicago to Orlando</t>
  </si>
  <si>
    <t>Flight CO2 Data as determined by UN calculator - https://www.icao.int/environmental-protection/CarbonOffset/Pages/default.aspx</t>
  </si>
  <si>
    <t>Total Average Driving Distance</t>
  </si>
  <si>
    <t>Total Driving Data - http://newsroom.aaa.com/2015/04/new-study-reveals-much-motorists-drive/</t>
  </si>
  <si>
    <t>% of Avg Annual Total Driving Dist.</t>
  </si>
  <si>
    <t>Average Length of a Roadtrip (628 miles roundtrip)</t>
  </si>
  <si>
    <t>Roadtrip Length - http://nhts.ornl.gov/briefs/Vacation%20Travel.pdf</t>
  </si>
  <si>
    <t>Composting Grass Clippings - https://earthobservatory.nasa.gov/Features/Lawn/lawn3.php</t>
  </si>
  <si>
    <t>Total Lawn Area - https://earthobservatory.nasa.gov/Features/Lawn/printall.php</t>
  </si>
  <si>
    <t>Average Sized Yard - https://www.theatlantic.com/business/archive/2016/07/lawns-census-bigger-homes-smaller-lots/489590/</t>
  </si>
  <si>
    <t>Composting grass clippings across US could absorb 16.7 teragrams/18.4 million US tons of CO2</t>
  </si>
  <si>
    <t>Total lawn area is 49,000 square miles</t>
  </si>
  <si>
    <t>Equals 0.145 kg/m^2 or 1293.66 lbs per acre</t>
  </si>
  <si>
    <t>Avg Sized yard is 0.14 acres, so this equals 181 lbs CO2 per avg sized yard</t>
  </si>
  <si>
    <t>Recycling/composting grass clippings (avg sized yard = 0.14 acres)</t>
  </si>
  <si>
    <t>Year of Egg Consumption</t>
  </si>
  <si>
    <t>Year of Vegetable Consumption</t>
  </si>
  <si>
    <t>Year of Grain Product Consumption</t>
  </si>
  <si>
    <t>Year of Seafood Consumption</t>
  </si>
  <si>
    <t xml:space="preserve">Annual food consumption data based on previous sources and Heller, M. and G. Keoleian. (2014) Greenhouse gas emissions estimates of U.S. dietary choices and food loss. Journal of Industrial Ecology, 19 (3): 391-401. </t>
  </si>
  <si>
    <t xml:space="preserve">CO2 per lb of beef - Cederberg C, Stadig M. System expansion and allocation in life cycle assessment of milk and beef production. Int J Life Cycle Assess. 2003;8:350–356. [Ref list] </t>
  </si>
  <si>
    <t>Year of Red Meat Consumption</t>
  </si>
  <si>
    <t>Year of Fruit Consumption</t>
  </si>
  <si>
    <t>Year of Sweetener Consumption</t>
  </si>
  <si>
    <t>Year of Added Fats/Oils Consumption</t>
  </si>
  <si>
    <t>Year of Fluid Milk Consumption</t>
  </si>
  <si>
    <t>Year of Other Dairy Product Consumption</t>
  </si>
  <si>
    <t>Mower = 88 lbs CO2 = https://www.ioes.ucla.edu/newsroom/</t>
  </si>
  <si>
    <t>Substituting a gas mower for a manual rotary mower</t>
  </si>
  <si>
    <t>Ligthbulb CO2 savings - https://ota.dc.gov/sites/default/files/dc/sites/ota/publication/attachments/Choosing_a_CFL.pdf</t>
  </si>
  <si>
    <t xml:space="preserve">Year of Poultry Consumption </t>
  </si>
  <si>
    <t>Adopting a vegetarian diet (diet still includes eggs &amp; dairy)</t>
  </si>
  <si>
    <t>Switching one 75-watt incandescent bulb for a CFL (bulb's lifetime)</t>
  </si>
  <si>
    <t>Reducing consumption to USDA serving portion of meat, poultry, &amp; eggs</t>
  </si>
  <si>
    <t>CO2 produced by the lifestyle of the average American per year</t>
  </si>
  <si>
    <t>CO2 of the average American - https://www.pmel.noaa.gov/pubs/PDF/feel2899/feel2899.pdf</t>
  </si>
  <si>
    <t>Furnace/Heating energy consumption over 1 year (avg home)</t>
  </si>
  <si>
    <t>Air conditioning for the average home over 1 year</t>
  </si>
  <si>
    <t>All appliances in the average home over one year</t>
  </si>
  <si>
    <t>Annual energy consumption of avg US home - https://www.eia.gov/todayinenergy/detail.php?id=9951&amp;src=%E2%80%B9%20Consumption%20%20%20%20%20%20Residential%20Energy%20Consumption%20Survey%20(RECS)-f4</t>
  </si>
  <si>
    <t>Total Energy Consumption of the Average US Home in 1 Year (average of 2.6 people per home)</t>
  </si>
  <si>
    <t>Total energy consumption from avg US home per capita (2.6/home)</t>
  </si>
  <si>
    <t>All appliances in the avg US home per capita (2.6 people/home)</t>
  </si>
  <si>
    <t>Practicing a "Meatless Monday" diet</t>
  </si>
  <si>
    <t>% of total annual CO2 production per avg American</t>
  </si>
  <si>
    <t>Using a non-heated hand dryer instead of two paper towels to dry hands</t>
  </si>
  <si>
    <t>Only using a hand dryer in a work/school restroom (4x/day, weekdays)</t>
  </si>
  <si>
    <t>Hand drying data - https://www.theguardian.com/environment/green-living-blog/2010/aug/05/carbon-footprint-drying-hands</t>
  </si>
  <si>
    <t>Standby Power Consumption (7.5% of total household electrical use -http://standby.lbl.gov/faq.html)</t>
  </si>
  <si>
    <t>Complete elimination of "Standby Power" used by appliances</t>
  </si>
  <si>
    <t>Partially eliminating "Standby Power" used by appliances (75%)</t>
  </si>
  <si>
    <t>Switching to LED Christmas lights vs. traditional lights</t>
  </si>
  <si>
    <t>LED Christmas Light Data - https://www.york.ac.uk/news-and-events/news/2007/carbon-christmas/</t>
  </si>
  <si>
    <t>Biking/walking to work for one day a week</t>
  </si>
  <si>
    <t>kWh/kWh equiv. used</t>
  </si>
  <si>
    <t>Number of trans- atlantic flights (RndTrp)</t>
  </si>
  <si>
    <t>Avoiding air travel for one year (avg US flyer miles)</t>
  </si>
  <si>
    <t>Avoiding a transatlantic flight</t>
  </si>
  <si>
    <t>CO2 reductions for reduction in meat were adjusted to 90% of original value to adjust for compensation by other food types (veg, fruit, grains).</t>
  </si>
  <si>
    <t>Equiv. to Mega-Joules of Energy</t>
  </si>
  <si>
    <t>Minimal CO2 production possible for an American</t>
  </si>
  <si>
    <t>Tree Seedlings Planted (10y of growth)</t>
  </si>
  <si>
    <t>Minimal CO2 production possible per American - http://web.mit.edu/ebm/www/Publications/ELSA%20IEEE%202008.pdf</t>
  </si>
  <si>
    <t>Choosing no-rush shipping for online purchases (for 1 lb. package)</t>
  </si>
  <si>
    <t>Choosing no-rush shipping for a year of purchases (for twenty-1 lb. packages)</t>
  </si>
  <si>
    <t>Average truck/driver delivers 120 packages; 55,000 drivers per day for UPS</t>
  </si>
  <si>
    <t>Average truck travels 160 miles per day - https://www.quora.com/How-many-miles-per-day-does-a-FedEx-or-UPS-driver-drive-on-average</t>
  </si>
  <si>
    <t>A truck that delivers 120 packages over 160 miles of travel per day means that the average package by truck travels roughly 80 miles from distribution center to delivery. </t>
  </si>
  <si>
    <t>Average distance from retailer to distribution center for Walmart is 134 miles. </t>
  </si>
  <si>
    <t>CO2 per metric ton per km of transport (http://timeforchange.org/co2-emissions-shipping-goods) </t>
  </si>
  <si>
    <t>Air - 500 g</t>
  </si>
  <si>
    <t>Truck - 60-150 g </t>
  </si>
  <si>
    <t>CO2 per ton of freight per mile</t>
  </si>
  <si>
    <t>Air - 800 </t>
  </si>
  <si>
    <t>Truck -  96-240 (avg 0f 168)</t>
  </si>
  <si>
    <t>CO2 per ton of freight assuming an avg 214 mile shipment</t>
  </si>
  <si>
    <t>Air (134 miles + 80 miles of truck) = 107,200 + 13,440 = 120,640</t>
  </si>
  <si>
    <t>Truck (214 miles) = 35,952</t>
  </si>
  <si>
    <t>CO2 per lb. package </t>
  </si>
  <si>
    <t>Air - 60.32 lbs. CO2 per 1 lb. package</t>
  </si>
  <si>
    <t>Truck - 17.98 lbs. CO2 per 1 lb. package</t>
  </si>
  <si>
    <t>Our 'typical' package then travels 134+80 = 214 miles</t>
  </si>
  <si>
    <t>Equivalencies to Riding a School Bus</t>
  </si>
  <si>
    <t>Sustainable Behavioral Choices to Offset School Bus Emissions</t>
  </si>
  <si>
    <t>Choosing no-rush shipping for online purchases (for a 1 lb. package)</t>
  </si>
  <si>
    <t>Only using a hand dryer in a work/school restroom (4x/day, 180 school days</t>
  </si>
  <si>
    <t>Switching from Hot to Cold when washing clothes (1y; max potential)</t>
  </si>
  <si>
    <t>Setting a thermostat 2 deg warmer in summer and 2 deg cooler in winter</t>
  </si>
  <si>
    <t>Properly insulating a water heater &amp; reducing the max temp &lt; 120 deg.</t>
  </si>
  <si>
    <t>Laundry/Shower/thermostat/water heater CO2 stats - http://www.mass.gov/eea/air-water-climate-change/climate-change/massachusetts-global-warming-solutions-act/how-can-i-reduce-my-emissions.html</t>
  </si>
  <si>
    <t>Limiting television time to 2 hours (vs. avg of 6)</t>
  </si>
  <si>
    <t>Switching a home's energy to carbon-neutral energy (per resident)</t>
  </si>
  <si>
    <t>Choosing a 10% Renewable Energy Utility Option (per resident)</t>
  </si>
  <si>
    <t>Practicing a "Meatless Monday" diet every week for a year</t>
  </si>
  <si>
    <t>Adopting a vegetarian diet (diet still includes eggs &amp; dairy) for a year</t>
  </si>
  <si>
    <t>Using cold water to wash clothes and a low-flow showerhead for a year</t>
  </si>
  <si>
    <t>Avoiding a transatlantic flight for a given year</t>
  </si>
  <si>
    <t>Choosing no-rush shipping for a year of online purchases (for twenty-1 lb. packages)</t>
  </si>
  <si>
    <t>Reducing portions to USDA-recommended serving sizes of meat, poultry, &amp; eggs</t>
  </si>
  <si>
    <t>Using a fan instead of AC (per resident; summer nights only)</t>
  </si>
  <si>
    <t>Using a fan instead of central AC (per resident; summer nights only)</t>
  </si>
  <si>
    <t>Using a fan instead of an AC window unit (per resident; summer nights only)</t>
  </si>
  <si>
    <t>Using a clothesline instead of a dryer for 6 months (per resident)</t>
  </si>
  <si>
    <t>Switching to LED Christmas lights vs. traditional lights (per resident)</t>
  </si>
  <si>
    <t>Switching one 75-watt incandescent bulb for a CFL (bulb's lifetime; per resident)</t>
  </si>
  <si>
    <t>Recycling/composting grass clippings (per resident; avg sized yard = 0.14 acres)</t>
  </si>
  <si>
    <t>Substituting a gas mower for a manual rotary mower (per resident)</t>
  </si>
  <si>
    <t>Percent of Avg. Global Emissions</t>
  </si>
  <si>
    <t>Biking/Walking to school every day for a year (avg)</t>
  </si>
  <si>
    <t>Biking/Walking to school 1 day a week for a year (avg)</t>
  </si>
  <si>
    <t>Properly insulating a water heater &amp; reducing the max temp &lt; 120 deg. (per resident)</t>
  </si>
  <si>
    <t>Setting a thermostat 2 deg warmer in summer and 2 deg cooler in winter (per resident)</t>
  </si>
  <si>
    <t>% of Avg Bus Emissions per Student</t>
  </si>
  <si>
    <t>% of Avg American's Emissions</t>
  </si>
  <si>
    <t>Complete elimination of "Standby Power" used by appliances (per resident)</t>
  </si>
  <si>
    <t>Partially eliminating "Standby Power" used by appliances (75%) (per resident)</t>
  </si>
  <si>
    <t>Only using a hand dryer in a work/school restroom (1 yr, 4x/day, weekdays)</t>
  </si>
  <si>
    <t>Switching to LED Christmas lights from traditional lights (per resident)</t>
  </si>
  <si>
    <t>Using cold water to wash clothes and a low-flow showerhead (per 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</si>
</sst>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0.0%"/>
    <numFmt numFmtId="165" formatCode="_-* #,##0_-;\-* #,##0_-;_-* &quot;-&quot;??_-;_-@_-"/>
  </numFmts>
  <fonts count="9" x14ac:knownFonts="1">
    <font>
      <sz val="12"/>
      <color theme="1"/>
      <name val="Calibri"/>
      <family val="2"/>
      <scheme val="minor"/>
    </font>
    <font>
      <sz val="12"/>
      <color theme="1"/>
      <name val="Calibri"/>
      <family val="2"/>
      <scheme val="minor"/>
    </font>
    <font>
      <b/>
      <sz val="12"/>
      <color theme="1"/>
      <name val="Calibri"/>
      <family val="2"/>
      <scheme val="minor"/>
    </font>
    <font>
      <sz val="12"/>
      <color rgb="FF000000"/>
      <name val="-apple-system-font"/>
    </font>
    <font>
      <u/>
      <sz val="12"/>
      <color theme="10"/>
      <name val="Calibri"/>
      <family val="2"/>
      <scheme val="minor"/>
    </font>
    <font>
      <sz val="12"/>
      <color theme="2" tint="-9.9978637043366805E-2"/>
      <name val="Calibri"/>
      <family val="2"/>
      <scheme val="minor"/>
    </font>
    <font>
      <u/>
      <sz val="12"/>
      <color theme="11"/>
      <name val="Calibri"/>
      <family val="2"/>
      <scheme val="minor"/>
    </font>
    <font>
      <b/>
      <sz val="10"/>
      <color theme="1"/>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7">
    <xf numFmtId="0" fontId="0" fillId="0" borderId="0" xfId="0"/>
    <xf numFmtId="0" fontId="3" fillId="0" borderId="0" xfId="0" applyFont="1"/>
    <xf numFmtId="0" fontId="4" fillId="0" borderId="0" xfId="3"/>
    <xf numFmtId="10" fontId="0" fillId="0" borderId="0" xfId="0" applyNumberFormat="1"/>
    <xf numFmtId="3" fontId="0" fillId="0" borderId="0" xfId="0" applyNumberFormat="1"/>
    <xf numFmtId="8" fontId="0" fillId="0" borderId="0" xfId="0" applyNumberFormat="1"/>
    <xf numFmtId="0" fontId="5" fillId="0" borderId="0" xfId="0" applyFont="1"/>
    <xf numFmtId="8" fontId="5" fillId="0" borderId="0" xfId="0" applyNumberFormat="1" applyFont="1"/>
    <xf numFmtId="0" fontId="2" fillId="0" borderId="0" xfId="0" applyFont="1" applyAlignment="1">
      <alignment horizontal="center" wrapText="1"/>
    </xf>
    <xf numFmtId="0" fontId="0" fillId="0" borderId="0" xfId="0" applyFont="1" applyAlignment="1">
      <alignment horizontal="center" wrapText="1"/>
    </xf>
    <xf numFmtId="43" fontId="0" fillId="0" borderId="0" xfId="1" applyFont="1"/>
    <xf numFmtId="164" fontId="0" fillId="0" borderId="0" xfId="2" applyNumberFormat="1" applyFont="1" applyAlignment="1">
      <alignment horizontal="center"/>
    </xf>
    <xf numFmtId="10" fontId="0" fillId="0" borderId="0" xfId="2" applyNumberFormat="1" applyFont="1" applyAlignment="1">
      <alignment horizontal="center"/>
    </xf>
    <xf numFmtId="0" fontId="0" fillId="0" borderId="0" xfId="0" applyFont="1"/>
    <xf numFmtId="0" fontId="0" fillId="0" borderId="0" xfId="0" applyAlignment="1">
      <alignment horizontal="right"/>
    </xf>
    <xf numFmtId="0" fontId="2" fillId="0" borderId="1" xfId="0" applyFont="1" applyBorder="1" applyAlignment="1">
      <alignment horizontal="right" wrapText="1"/>
    </xf>
    <xf numFmtId="43" fontId="2" fillId="0" borderId="1" xfId="1" applyFont="1" applyBorder="1" applyAlignment="1">
      <alignment horizontal="center" wrapText="1"/>
    </xf>
    <xf numFmtId="164" fontId="2" fillId="0" borderId="1" xfId="2" applyNumberFormat="1" applyFont="1" applyBorder="1" applyAlignment="1">
      <alignment horizontal="center" wrapText="1"/>
    </xf>
    <xf numFmtId="10" fontId="2" fillId="0" borderId="1" xfId="2" applyNumberFormat="1" applyFont="1" applyBorder="1" applyAlignment="1">
      <alignment horizontal="center" wrapText="1"/>
    </xf>
    <xf numFmtId="43" fontId="0" fillId="0" borderId="1" xfId="1" applyFont="1" applyBorder="1" applyAlignment="1">
      <alignment horizontal="center" wrapText="1"/>
    </xf>
    <xf numFmtId="164" fontId="0" fillId="0" borderId="1" xfId="2" applyNumberFormat="1" applyFont="1" applyBorder="1" applyAlignment="1">
      <alignment horizontal="center" wrapText="1"/>
    </xf>
    <xf numFmtId="10" fontId="0" fillId="0" borderId="1" xfId="2" applyNumberFormat="1" applyFont="1" applyBorder="1" applyAlignment="1">
      <alignment horizontal="center" wrapText="1"/>
    </xf>
    <xf numFmtId="0" fontId="0" fillId="0" borderId="1" xfId="0" applyBorder="1" applyAlignment="1">
      <alignment horizontal="right"/>
    </xf>
    <xf numFmtId="43" fontId="0" fillId="0" borderId="1" xfId="1" applyFont="1" applyBorder="1"/>
    <xf numFmtId="164" fontId="0" fillId="0" borderId="1" xfId="2" applyNumberFormat="1" applyFont="1" applyBorder="1" applyAlignment="1">
      <alignment horizontal="center"/>
    </xf>
    <xf numFmtId="10" fontId="0" fillId="0" borderId="1" xfId="2" applyNumberFormat="1" applyFont="1" applyBorder="1" applyAlignment="1">
      <alignment horizontal="center"/>
    </xf>
    <xf numFmtId="0" fontId="2" fillId="0" borderId="1" xfId="0" applyFont="1" applyBorder="1" applyAlignment="1">
      <alignment horizontal="right"/>
    </xf>
    <xf numFmtId="0" fontId="0" fillId="0" borderId="1" xfId="0" applyFont="1" applyBorder="1" applyAlignment="1">
      <alignment horizontal="right" wrapText="1"/>
    </xf>
    <xf numFmtId="43" fontId="1" fillId="0" borderId="1" xfId="1" applyFont="1" applyBorder="1"/>
    <xf numFmtId="164" fontId="1" fillId="0" borderId="1" xfId="2" applyNumberFormat="1" applyFont="1" applyBorder="1" applyAlignment="1">
      <alignment horizontal="center"/>
    </xf>
    <xf numFmtId="10" fontId="1" fillId="0" borderId="1" xfId="2" applyNumberFormat="1" applyFont="1" applyBorder="1" applyAlignment="1">
      <alignment horizontal="center"/>
    </xf>
    <xf numFmtId="0" fontId="0" fillId="0" borderId="1" xfId="0" applyFont="1" applyBorder="1" applyAlignment="1">
      <alignment horizontal="right"/>
    </xf>
    <xf numFmtId="165" fontId="2" fillId="0" borderId="1" xfId="1" applyNumberFormat="1" applyFont="1" applyBorder="1" applyAlignment="1">
      <alignment horizontal="center" wrapText="1"/>
    </xf>
    <xf numFmtId="165" fontId="0" fillId="0" borderId="1" xfId="1" applyNumberFormat="1" applyFont="1" applyBorder="1" applyAlignment="1">
      <alignment horizontal="center" wrapText="1"/>
    </xf>
    <xf numFmtId="165" fontId="0" fillId="0" borderId="1" xfId="1" applyNumberFormat="1" applyFont="1" applyBorder="1"/>
    <xf numFmtId="165" fontId="0" fillId="0" borderId="0" xfId="1" applyNumberFormat="1" applyFont="1"/>
    <xf numFmtId="9" fontId="0" fillId="0" borderId="0" xfId="2" applyFont="1"/>
    <xf numFmtId="9" fontId="2" fillId="0" borderId="1" xfId="2" applyFont="1" applyBorder="1" applyAlignment="1">
      <alignment horizontal="center" wrapText="1"/>
    </xf>
    <xf numFmtId="43" fontId="2" fillId="0" borderId="1" xfId="1" applyFont="1" applyBorder="1" applyAlignment="1">
      <alignment horizontal="right" wrapText="1"/>
    </xf>
    <xf numFmtId="43" fontId="2" fillId="0" borderId="0" xfId="1" applyFont="1" applyAlignment="1">
      <alignment horizontal="center" wrapText="1"/>
    </xf>
    <xf numFmtId="9" fontId="0" fillId="0" borderId="1" xfId="2" applyFont="1" applyBorder="1"/>
    <xf numFmtId="43" fontId="2" fillId="0" borderId="1" xfId="1" applyFont="1" applyBorder="1"/>
    <xf numFmtId="0" fontId="0" fillId="0" borderId="0" xfId="0" applyAlignment="1">
      <alignment horizontal="center"/>
    </xf>
    <xf numFmtId="1" fontId="0" fillId="0" borderId="1" xfId="1" applyNumberFormat="1" applyFont="1" applyBorder="1" applyAlignment="1"/>
    <xf numFmtId="1" fontId="0" fillId="0" borderId="1" xfId="0" applyNumberFormat="1" applyBorder="1" applyAlignment="1"/>
    <xf numFmtId="43" fontId="0" fillId="0" borderId="1" xfId="1" applyFont="1" applyBorder="1" applyAlignment="1">
      <alignment horizontal="right" wrapText="1"/>
    </xf>
    <xf numFmtId="0" fontId="0" fillId="0" borderId="1" xfId="0" applyBorder="1" applyAlignment="1">
      <alignment horizontal="right" wrapText="1"/>
    </xf>
    <xf numFmtId="0" fontId="0" fillId="0" borderId="0" xfId="0" applyAlignment="1">
      <alignment horizontal="right" wrapText="1"/>
    </xf>
    <xf numFmtId="43" fontId="0" fillId="0" borderId="1" xfId="1" applyFont="1" applyBorder="1" applyAlignment="1">
      <alignment horizontal="left" indent="1"/>
    </xf>
    <xf numFmtId="43" fontId="7" fillId="0" borderId="1" xfId="1" applyFont="1" applyBorder="1" applyAlignment="1">
      <alignment horizontal="center" wrapText="1"/>
    </xf>
    <xf numFmtId="0" fontId="7" fillId="0" borderId="1" xfId="0" applyFont="1" applyBorder="1" applyAlignment="1">
      <alignment horizontal="center" wrapText="1"/>
    </xf>
    <xf numFmtId="43" fontId="8" fillId="0" borderId="1" xfId="1" applyFont="1" applyBorder="1" applyAlignment="1">
      <alignment horizontal="center" wrapText="1"/>
    </xf>
    <xf numFmtId="1" fontId="8" fillId="0" borderId="1" xfId="0" applyNumberFormat="1" applyFont="1" applyBorder="1" applyAlignment="1">
      <alignment horizontal="center" wrapText="1"/>
    </xf>
    <xf numFmtId="9" fontId="8" fillId="0" borderId="1" xfId="2" applyFont="1" applyBorder="1" applyAlignment="1">
      <alignment horizontal="center" wrapText="1"/>
    </xf>
    <xf numFmtId="0" fontId="8" fillId="0" borderId="1" xfId="0" applyFont="1" applyBorder="1" applyAlignment="1">
      <alignment horizontal="center" wrapText="1"/>
    </xf>
    <xf numFmtId="10" fontId="8" fillId="0" borderId="1" xfId="2" applyNumberFormat="1" applyFont="1" applyBorder="1" applyAlignment="1">
      <alignment horizontal="center" wrapText="1"/>
    </xf>
    <xf numFmtId="43" fontId="0" fillId="0" borderId="1" xfId="1" applyFont="1" applyBorder="1" applyAlignment="1">
      <alignment horizontal="right"/>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3" builtinId="8"/>
    <cellStyle name="Normal" xfId="0" builtinId="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https://archive.epa.gov/epawaste/nonhaz/municipal/web/html/" TargetMode="External"/><Relationship Id="rId4" Type="http://schemas.openxmlformats.org/officeDocument/2006/relationships/hyperlink" Target="http://css.umich.edu/factsheets/carbon-footprint-factsheet" TargetMode="External"/><Relationship Id="rId5" Type="http://schemas.openxmlformats.org/officeDocument/2006/relationships/hyperlink" Target="https://www.rita.dot.gov/bts/press_releases/bts015_15" TargetMode="External"/><Relationship Id="rId6" Type="http://schemas.openxmlformats.org/officeDocument/2006/relationships/hyperlink" Target="https://www.rita.dot.gov/bts/sites/rita.dot.gov.bts/files/publications/national_transportation_statistics/html/table_04_08.html" TargetMode="External"/><Relationship Id="rId7" Type="http://schemas.openxmlformats.org/officeDocument/2006/relationships/hyperlink" Target="https://www.rita.dot.gov/bts/press_releases/bts015_15" TargetMode="External"/><Relationship Id="rId8" Type="http://schemas.openxmlformats.org/officeDocument/2006/relationships/hyperlink" Target="https://www.rita.dot.gov/bts/press_releases/bts015_15" TargetMode="External"/><Relationship Id="rId9" Type="http://schemas.openxmlformats.org/officeDocument/2006/relationships/hyperlink" Target="https://www.epa.gov/sites/production/files/2015-07/documents/emission-factors_2014.pdf" TargetMode="External"/><Relationship Id="rId10" Type="http://schemas.openxmlformats.org/officeDocument/2006/relationships/hyperlink" Target="http://timeforchange.org/co2-emissions-shipping-goods" TargetMode="External"/><Relationship Id="rId1" Type="http://schemas.openxmlformats.org/officeDocument/2006/relationships/hyperlink" Target="https://energy.gov/energysaver/estimating-appliance-and-home-electronic-energy-use" TargetMode="External"/><Relationship Id="rId2" Type="http://schemas.openxmlformats.org/officeDocument/2006/relationships/hyperlink" Target="http://www.txspc.com/documents/WattageApplian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tabSelected="1" workbookViewId="0">
      <pane xSplit="1" ySplit="1" topLeftCell="B2" activePane="bottomRight" state="frozen"/>
      <selection pane="topRight" activeCell="B1" sqref="B1"/>
      <selection pane="bottomLeft" activeCell="A2" sqref="A2"/>
      <selection pane="bottomRight" activeCell="A20" sqref="A20"/>
    </sheetView>
  </sheetViews>
  <sheetFormatPr baseColWidth="10" defaultRowHeight="16" x14ac:dyDescent="0.2"/>
  <cols>
    <col min="1" max="1" width="66.1640625" style="14" bestFit="1" customWidth="1"/>
    <col min="2" max="2" width="11.33203125" style="10" customWidth="1"/>
    <col min="3" max="3" width="10.83203125" style="12"/>
    <col min="4" max="4" width="6" style="10" customWidth="1"/>
    <col min="5" max="5" width="11.5" style="35" bestFit="1" customWidth="1"/>
    <col min="6" max="6" width="8.33203125" style="10" customWidth="1"/>
    <col min="7" max="7" width="8.6640625" style="10" customWidth="1"/>
    <col min="8" max="8" width="10.33203125" style="10" customWidth="1"/>
    <col min="9" max="9" width="10.83203125" style="10" customWidth="1"/>
    <col min="10" max="10" width="12.33203125" style="10" customWidth="1"/>
    <col min="11" max="11" width="9.83203125" style="10" customWidth="1"/>
    <col min="12" max="12" width="10.83203125" style="10" customWidth="1"/>
    <col min="13" max="13" width="10.5" style="10" customWidth="1"/>
    <col min="14" max="14" width="8.83203125" style="10" customWidth="1"/>
    <col min="15" max="16" width="10.1640625" style="11" customWidth="1"/>
  </cols>
  <sheetData>
    <row r="1" spans="1:16" s="8" customFormat="1" ht="80" x14ac:dyDescent="0.2">
      <c r="A1" s="15" t="s">
        <v>0</v>
      </c>
      <c r="B1" s="16" t="s">
        <v>6</v>
      </c>
      <c r="C1" s="18" t="s">
        <v>183</v>
      </c>
      <c r="D1" s="16" t="s">
        <v>193</v>
      </c>
      <c r="E1" s="32" t="s">
        <v>198</v>
      </c>
      <c r="F1" s="16" t="s">
        <v>1</v>
      </c>
      <c r="G1" s="16" t="s">
        <v>200</v>
      </c>
      <c r="H1" s="16" t="s">
        <v>127</v>
      </c>
      <c r="I1" s="16" t="s">
        <v>126</v>
      </c>
      <c r="J1" s="16" t="s">
        <v>128</v>
      </c>
      <c r="K1" s="16" t="s">
        <v>3</v>
      </c>
      <c r="L1" s="16" t="s">
        <v>4</v>
      </c>
      <c r="M1" s="16" t="s">
        <v>5</v>
      </c>
      <c r="N1" s="16" t="s">
        <v>194</v>
      </c>
      <c r="O1" s="17" t="s">
        <v>69</v>
      </c>
      <c r="P1" s="17" t="s">
        <v>143</v>
      </c>
    </row>
    <row r="2" spans="1:16" s="9" customFormat="1" x14ac:dyDescent="0.2">
      <c r="A2" s="15" t="s">
        <v>129</v>
      </c>
      <c r="B2" s="19"/>
      <c r="C2" s="21"/>
      <c r="D2" s="19"/>
      <c r="E2" s="33"/>
      <c r="F2" s="19"/>
      <c r="G2" s="19"/>
      <c r="H2" s="19"/>
      <c r="I2" s="19"/>
      <c r="J2" s="19"/>
      <c r="K2" s="19"/>
      <c r="L2" s="19"/>
      <c r="M2" s="19"/>
      <c r="N2" s="19"/>
      <c r="O2" s="20"/>
      <c r="P2" s="20"/>
    </row>
    <row r="3" spans="1:16" x14ac:dyDescent="0.2">
      <c r="A3" s="22" t="s">
        <v>2</v>
      </c>
      <c r="B3" s="23">
        <v>1</v>
      </c>
      <c r="C3" s="25">
        <f t="shared" ref="C3:C8" si="0">B3/44000</f>
        <v>2.2727272727272726E-5</v>
      </c>
      <c r="D3" s="23"/>
      <c r="E3" s="34">
        <f t="shared" ref="E3:E8" si="1">B3/1.2*3.6</f>
        <v>3</v>
      </c>
      <c r="F3" s="23">
        <v>1.6E-2</v>
      </c>
      <c r="G3" s="23">
        <v>1.2E-2</v>
      </c>
      <c r="H3" s="23">
        <v>0.75</v>
      </c>
      <c r="I3" s="23">
        <v>0.54</v>
      </c>
      <c r="J3" s="23">
        <v>4.0000000000000002E-4</v>
      </c>
      <c r="K3" s="23">
        <v>0.05</v>
      </c>
      <c r="L3" s="23">
        <v>0.48399999999999999</v>
      </c>
      <c r="M3" s="23">
        <v>1.1000000000000001</v>
      </c>
      <c r="N3" s="23">
        <f t="shared" ref="N3:N18" si="2">M3/1839.75</f>
        <v>5.9790732436472351E-4</v>
      </c>
      <c r="O3" s="24">
        <f>M3/7559.2</f>
        <v>1.4551804423748547E-4</v>
      </c>
      <c r="P3" s="24">
        <f t="shared" ref="P3:P8" si="3">M3/10657.9</f>
        <v>1.0320982557539478E-4</v>
      </c>
    </row>
    <row r="4" spans="1:16" x14ac:dyDescent="0.2">
      <c r="A4" s="22" t="s">
        <v>14</v>
      </c>
      <c r="B4" s="23">
        <v>1.2</v>
      </c>
      <c r="C4" s="25">
        <f t="shared" si="0"/>
        <v>2.7272727272727273E-5</v>
      </c>
      <c r="D4" s="23"/>
      <c r="E4" s="34">
        <f t="shared" si="1"/>
        <v>3.6</v>
      </c>
      <c r="F4" s="23">
        <f>B4*0.016</f>
        <v>1.9199999999999998E-2</v>
      </c>
      <c r="G4" s="23">
        <f>B4*0.012</f>
        <v>1.44E-2</v>
      </c>
      <c r="H4" s="23">
        <f>B4*0.75</f>
        <v>0.89999999999999991</v>
      </c>
      <c r="I4" s="23">
        <f>B4*0.54</f>
        <v>0.64800000000000002</v>
      </c>
      <c r="J4" s="23">
        <f>B4*0.0004*43560</f>
        <v>20.908799999999999</v>
      </c>
      <c r="K4" s="23">
        <f>B4*0.05</f>
        <v>0.06</v>
      </c>
      <c r="L4" s="23">
        <f>B4*0.484</f>
        <v>0.58079999999999998</v>
      </c>
      <c r="M4" s="23">
        <f>B4*1.1</f>
        <v>1.32</v>
      </c>
      <c r="N4" s="23">
        <f t="shared" si="2"/>
        <v>7.1748878923766823E-4</v>
      </c>
      <c r="O4" s="24">
        <f t="shared" ref="O4:O12" si="4">M4/7559.2</f>
        <v>1.7462165308498254E-4</v>
      </c>
      <c r="P4" s="24">
        <f t="shared" si="3"/>
        <v>1.2385179069047375E-4</v>
      </c>
    </row>
    <row r="5" spans="1:16" x14ac:dyDescent="0.2">
      <c r="A5" s="22" t="s">
        <v>133</v>
      </c>
      <c r="B5" s="23">
        <v>2.2999999999999998</v>
      </c>
      <c r="C5" s="25">
        <f t="shared" si="0"/>
        <v>5.2272727272727268E-5</v>
      </c>
      <c r="D5" s="23"/>
      <c r="E5" s="34">
        <f t="shared" si="1"/>
        <v>6.8999999999999995</v>
      </c>
      <c r="F5" s="23">
        <f>B5*0.016</f>
        <v>3.6799999999999999E-2</v>
      </c>
      <c r="G5" s="23">
        <f>B5*0.012</f>
        <v>2.76E-2</v>
      </c>
      <c r="H5" s="23">
        <f>B5*0.75</f>
        <v>1.7249999999999999</v>
      </c>
      <c r="I5" s="23">
        <f>B5*0.54</f>
        <v>1.242</v>
      </c>
      <c r="J5" s="23">
        <f>B5*0.0004*43560</f>
        <v>40.075199999999995</v>
      </c>
      <c r="K5" s="23">
        <f>B5*0.05</f>
        <v>0.11499999999999999</v>
      </c>
      <c r="L5" s="23">
        <f>B5*0.484</f>
        <v>1.1132</v>
      </c>
      <c r="M5" s="23">
        <f>B5*1.1</f>
        <v>2.5299999999999998</v>
      </c>
      <c r="N5" s="23">
        <f t="shared" si="2"/>
        <v>1.3751868460388638E-3</v>
      </c>
      <c r="O5" s="24">
        <f t="shared" si="4"/>
        <v>3.3469150174621654E-4</v>
      </c>
      <c r="P5" s="24">
        <f t="shared" si="3"/>
        <v>2.3738259882340797E-4</v>
      </c>
    </row>
    <row r="6" spans="1:16" x14ac:dyDescent="0.2">
      <c r="A6" s="22" t="s">
        <v>134</v>
      </c>
      <c r="B6" s="23">
        <f>B5*365</f>
        <v>839.49999999999989</v>
      </c>
      <c r="C6" s="25">
        <f t="shared" si="0"/>
        <v>1.9079545454545453E-2</v>
      </c>
      <c r="D6" s="23"/>
      <c r="E6" s="34">
        <f t="shared" si="1"/>
        <v>2518.5</v>
      </c>
      <c r="F6" s="23">
        <f>B6*0.016</f>
        <v>13.431999999999999</v>
      </c>
      <c r="G6" s="23">
        <f>B6*0.012</f>
        <v>10.073999999999998</v>
      </c>
      <c r="H6" s="23">
        <f>B6*0.75</f>
        <v>629.62499999999989</v>
      </c>
      <c r="I6" s="23">
        <f>B6*0.54</f>
        <v>453.33</v>
      </c>
      <c r="J6" s="23">
        <f>B6*0.0004*43560</f>
        <v>14627.448</v>
      </c>
      <c r="K6" s="23">
        <f>B6*0.05</f>
        <v>41.974999999999994</v>
      </c>
      <c r="L6" s="23">
        <f>B6*0.484</f>
        <v>406.31799999999993</v>
      </c>
      <c r="M6" s="23">
        <f>B6*1.1</f>
        <v>923.44999999999993</v>
      </c>
      <c r="N6" s="23">
        <f t="shared" si="2"/>
        <v>0.50194319880418536</v>
      </c>
      <c r="O6" s="24">
        <f t="shared" si="4"/>
        <v>0.12216239813736902</v>
      </c>
      <c r="P6" s="24">
        <f t="shared" si="3"/>
        <v>8.6644648570543908E-2</v>
      </c>
    </row>
    <row r="7" spans="1:16" x14ac:dyDescent="0.2">
      <c r="A7" s="22" t="s">
        <v>173</v>
      </c>
      <c r="B7" s="23">
        <f>2000*22</f>
        <v>44000</v>
      </c>
      <c r="C7" s="25">
        <f t="shared" si="0"/>
        <v>1</v>
      </c>
      <c r="D7" s="23"/>
      <c r="E7" s="34">
        <f t="shared" si="1"/>
        <v>132000.00000000003</v>
      </c>
      <c r="F7" s="23">
        <f>B7*0.016</f>
        <v>704</v>
      </c>
      <c r="G7" s="23">
        <f>B7*0.012</f>
        <v>528</v>
      </c>
      <c r="H7" s="23">
        <f>B7*0.75</f>
        <v>33000</v>
      </c>
      <c r="I7" s="23">
        <f>B7*0.54</f>
        <v>23760</v>
      </c>
      <c r="J7" s="23">
        <f>B7*0.0004*43560</f>
        <v>766656.00000000012</v>
      </c>
      <c r="K7" s="23">
        <f>B7*0.05</f>
        <v>2200</v>
      </c>
      <c r="L7" s="23">
        <f>B7*0.484</f>
        <v>21296</v>
      </c>
      <c r="M7" s="23">
        <f>B7*1.1</f>
        <v>48400.000000000007</v>
      </c>
      <c r="N7" s="23">
        <f t="shared" si="2"/>
        <v>26.307922272047836</v>
      </c>
      <c r="O7" s="24">
        <f t="shared" si="4"/>
        <v>6.4027939464493606</v>
      </c>
      <c r="P7" s="24">
        <f t="shared" si="3"/>
        <v>4.5412323253173712</v>
      </c>
    </row>
    <row r="8" spans="1:16" x14ac:dyDescent="0.2">
      <c r="A8" s="22" t="s">
        <v>199</v>
      </c>
      <c r="B8" s="23">
        <v>17000</v>
      </c>
      <c r="C8" s="25">
        <f t="shared" si="0"/>
        <v>0.38636363636363635</v>
      </c>
      <c r="D8" s="23"/>
      <c r="E8" s="34">
        <f t="shared" si="1"/>
        <v>51000.000000000007</v>
      </c>
      <c r="F8" s="23">
        <f>B8*0.016</f>
        <v>272</v>
      </c>
      <c r="G8" s="23">
        <f>B8*0.012</f>
        <v>204</v>
      </c>
      <c r="H8" s="23">
        <f>B8*0.75</f>
        <v>12750</v>
      </c>
      <c r="I8" s="23">
        <f>B8*0.54</f>
        <v>9180</v>
      </c>
      <c r="J8" s="23">
        <f>B8*0.0004*43560</f>
        <v>296208.00000000006</v>
      </c>
      <c r="K8" s="23">
        <f>B8*0.05</f>
        <v>850</v>
      </c>
      <c r="L8" s="23">
        <f>B8*0.484</f>
        <v>8228</v>
      </c>
      <c r="M8" s="23">
        <f>B8*1.1</f>
        <v>18700</v>
      </c>
      <c r="N8" s="23">
        <f t="shared" ref="N8" si="5">M8/1839.75</f>
        <v>10.164424514200299</v>
      </c>
      <c r="O8" s="24">
        <f t="shared" ref="O8" si="6">M8/7559.2</f>
        <v>2.4738067520372526</v>
      </c>
      <c r="P8" s="24">
        <f t="shared" si="3"/>
        <v>1.7545670347817113</v>
      </c>
    </row>
    <row r="9" spans="1:16" x14ac:dyDescent="0.2">
      <c r="A9" s="22"/>
      <c r="B9" s="23"/>
      <c r="C9" s="25"/>
      <c r="D9" s="23"/>
      <c r="E9" s="34"/>
      <c r="F9" s="23"/>
      <c r="G9" s="23"/>
      <c r="H9" s="23"/>
      <c r="I9" s="23"/>
      <c r="J9" s="23"/>
      <c r="K9" s="23"/>
      <c r="L9" s="23"/>
      <c r="M9" s="23"/>
      <c r="N9" s="23"/>
      <c r="O9" s="24"/>
      <c r="P9" s="24"/>
    </row>
    <row r="10" spans="1:16" x14ac:dyDescent="0.2">
      <c r="A10" s="26" t="s">
        <v>43</v>
      </c>
      <c r="B10" s="23"/>
      <c r="C10" s="25"/>
      <c r="D10" s="23"/>
      <c r="E10" s="34"/>
      <c r="F10" s="23"/>
      <c r="G10" s="23"/>
      <c r="H10" s="23"/>
      <c r="I10" s="23"/>
      <c r="J10" s="23"/>
      <c r="K10" s="23"/>
      <c r="L10" s="23"/>
      <c r="M10" s="23"/>
      <c r="N10" s="23"/>
      <c r="O10" s="24"/>
      <c r="P10" s="24"/>
    </row>
    <row r="11" spans="1:16" x14ac:dyDescent="0.2">
      <c r="A11" s="22" t="s">
        <v>7</v>
      </c>
      <c r="B11" s="23">
        <v>26.3</v>
      </c>
      <c r="C11" s="25">
        <f t="shared" ref="C11:C19" si="7">B11/44000</f>
        <v>5.9772727272727278E-4</v>
      </c>
      <c r="D11" s="23"/>
      <c r="E11" s="34">
        <f t="shared" ref="E11:E19" si="8">B11/1.2*3.6</f>
        <v>78.900000000000006</v>
      </c>
      <c r="F11" s="23">
        <f t="shared" ref="F11:F19" si="9">B11*0.016</f>
        <v>0.42080000000000001</v>
      </c>
      <c r="G11" s="23">
        <f t="shared" ref="G11:G19" si="10">B11*0.012</f>
        <v>0.31559999999999999</v>
      </c>
      <c r="H11" s="23">
        <f t="shared" ref="H11:H19" si="11">B11*0.75</f>
        <v>19.725000000000001</v>
      </c>
      <c r="I11" s="23">
        <f t="shared" ref="I11:I19" si="12">B11*0.54</f>
        <v>14.202000000000002</v>
      </c>
      <c r="J11" s="23">
        <f t="shared" ref="J11:J19" si="13">B11*0.0004*43560</f>
        <v>458.2512000000001</v>
      </c>
      <c r="K11" s="23">
        <f t="shared" ref="K11:K19" si="14">B11*0.05</f>
        <v>1.3150000000000002</v>
      </c>
      <c r="L11" s="23">
        <f t="shared" ref="L11:L19" si="15">B11*0.484</f>
        <v>12.729200000000001</v>
      </c>
      <c r="M11" s="23">
        <f t="shared" ref="M11:M19" si="16">B11*1.1</f>
        <v>28.930000000000003</v>
      </c>
      <c r="N11" s="23">
        <f t="shared" si="2"/>
        <v>1.572496263079223E-2</v>
      </c>
      <c r="O11" s="24">
        <f t="shared" si="4"/>
        <v>3.827124563445868E-3</v>
      </c>
      <c r="P11" s="24">
        <f t="shared" ref="P11:P19" si="17">M11/10657.9</f>
        <v>2.7144184126328828E-3</v>
      </c>
    </row>
    <row r="12" spans="1:16" x14ac:dyDescent="0.2">
      <c r="A12" s="22" t="s">
        <v>8</v>
      </c>
      <c r="B12" s="23">
        <v>131.80000000000001</v>
      </c>
      <c r="C12" s="25">
        <f t="shared" si="7"/>
        <v>2.9954545454545455E-3</v>
      </c>
      <c r="D12" s="23"/>
      <c r="E12" s="34">
        <f t="shared" si="8"/>
        <v>395.40000000000003</v>
      </c>
      <c r="F12" s="23">
        <f t="shared" si="9"/>
        <v>2.1088</v>
      </c>
      <c r="G12" s="23">
        <f t="shared" si="10"/>
        <v>1.5816000000000001</v>
      </c>
      <c r="H12" s="23">
        <f t="shared" si="11"/>
        <v>98.850000000000009</v>
      </c>
      <c r="I12" s="23">
        <f t="shared" si="12"/>
        <v>71.172000000000011</v>
      </c>
      <c r="J12" s="23">
        <f t="shared" si="13"/>
        <v>2296.4832000000006</v>
      </c>
      <c r="K12" s="23">
        <f t="shared" si="14"/>
        <v>6.5900000000000007</v>
      </c>
      <c r="L12" s="23">
        <f t="shared" si="15"/>
        <v>63.791200000000003</v>
      </c>
      <c r="M12" s="23">
        <f t="shared" si="16"/>
        <v>144.98000000000002</v>
      </c>
      <c r="N12" s="23">
        <f t="shared" si="2"/>
        <v>7.8804185351270567E-2</v>
      </c>
      <c r="O12" s="24">
        <f t="shared" si="4"/>
        <v>1.9179278230500585E-2</v>
      </c>
      <c r="P12" s="24">
        <f t="shared" si="17"/>
        <v>1.3603055010837034E-2</v>
      </c>
    </row>
    <row r="13" spans="1:16" x14ac:dyDescent="0.2">
      <c r="A13" s="22" t="s">
        <v>9</v>
      </c>
      <c r="B13" s="23">
        <v>6872</v>
      </c>
      <c r="C13" s="25">
        <f t="shared" si="7"/>
        <v>0.15618181818181817</v>
      </c>
      <c r="D13" s="23"/>
      <c r="E13" s="34">
        <f t="shared" si="8"/>
        <v>20616</v>
      </c>
      <c r="F13" s="23">
        <f t="shared" si="9"/>
        <v>109.952</v>
      </c>
      <c r="G13" s="23">
        <f t="shared" si="10"/>
        <v>82.463999999999999</v>
      </c>
      <c r="H13" s="23">
        <f t="shared" si="11"/>
        <v>5154</v>
      </c>
      <c r="I13" s="23">
        <f t="shared" si="12"/>
        <v>3710.88</v>
      </c>
      <c r="J13" s="23">
        <f t="shared" si="13"/>
        <v>119737.728</v>
      </c>
      <c r="K13" s="23">
        <f t="shared" si="14"/>
        <v>343.6</v>
      </c>
      <c r="L13" s="23">
        <f t="shared" si="15"/>
        <v>3326.0479999999998</v>
      </c>
      <c r="M13" s="23">
        <f t="shared" si="16"/>
        <v>7559.2000000000007</v>
      </c>
      <c r="N13" s="23">
        <f t="shared" si="2"/>
        <v>4.1088191330343804</v>
      </c>
      <c r="O13" s="24">
        <f>M13/7559.2</f>
        <v>1.0000000000000002</v>
      </c>
      <c r="P13" s="24">
        <f t="shared" si="17"/>
        <v>0.70925792135411303</v>
      </c>
    </row>
    <row r="14" spans="1:16" x14ac:dyDescent="0.2">
      <c r="A14" s="22" t="s">
        <v>141</v>
      </c>
      <c r="B14" s="23">
        <v>9689</v>
      </c>
      <c r="C14" s="25">
        <f t="shared" si="7"/>
        <v>0.22020454545454546</v>
      </c>
      <c r="D14" s="23"/>
      <c r="E14" s="34">
        <f t="shared" si="8"/>
        <v>29067</v>
      </c>
      <c r="F14" s="23">
        <f t="shared" si="9"/>
        <v>155.024</v>
      </c>
      <c r="G14" s="23">
        <f t="shared" si="10"/>
        <v>116.268</v>
      </c>
      <c r="H14" s="23">
        <f t="shared" si="11"/>
        <v>7266.75</v>
      </c>
      <c r="I14" s="23">
        <f t="shared" si="12"/>
        <v>5232.0600000000004</v>
      </c>
      <c r="J14" s="23">
        <f t="shared" si="13"/>
        <v>168821.13600000003</v>
      </c>
      <c r="K14" s="23">
        <f t="shared" si="14"/>
        <v>484.45000000000005</v>
      </c>
      <c r="L14" s="23">
        <f t="shared" si="15"/>
        <v>4689.4759999999997</v>
      </c>
      <c r="M14" s="23">
        <f t="shared" si="16"/>
        <v>10657.900000000001</v>
      </c>
      <c r="N14" s="23">
        <f t="shared" si="2"/>
        <v>5.7931240657698062</v>
      </c>
      <c r="O14" s="24">
        <f>M14/7559.2</f>
        <v>1.4099243306169966</v>
      </c>
      <c r="P14" s="24">
        <f t="shared" si="17"/>
        <v>1.0000000000000002</v>
      </c>
    </row>
    <row r="15" spans="1:16" x14ac:dyDescent="0.2">
      <c r="A15" s="22" t="s">
        <v>144</v>
      </c>
      <c r="B15" s="23">
        <v>570.9</v>
      </c>
      <c r="C15" s="25">
        <f t="shared" si="7"/>
        <v>1.2974999999999999E-2</v>
      </c>
      <c r="D15" s="23"/>
      <c r="E15" s="34">
        <f t="shared" si="8"/>
        <v>1712.7</v>
      </c>
      <c r="F15" s="23">
        <f t="shared" si="9"/>
        <v>9.1343999999999994</v>
      </c>
      <c r="G15" s="23">
        <f t="shared" si="10"/>
        <v>6.8507999999999996</v>
      </c>
      <c r="H15" s="23">
        <f t="shared" si="11"/>
        <v>428.17499999999995</v>
      </c>
      <c r="I15" s="23">
        <f t="shared" si="12"/>
        <v>308.286</v>
      </c>
      <c r="J15" s="23">
        <f t="shared" si="13"/>
        <v>9947.3616000000002</v>
      </c>
      <c r="K15" s="23">
        <f t="shared" si="14"/>
        <v>28.545000000000002</v>
      </c>
      <c r="L15" s="23">
        <f t="shared" si="15"/>
        <v>276.31559999999996</v>
      </c>
      <c r="M15" s="23">
        <f t="shared" si="16"/>
        <v>627.99</v>
      </c>
      <c r="N15" s="23">
        <f t="shared" si="2"/>
        <v>0.34134529147982062</v>
      </c>
      <c r="O15" s="24">
        <f>M15/7559.2</f>
        <v>8.3076251455180439E-2</v>
      </c>
      <c r="P15" s="24">
        <f t="shared" si="17"/>
        <v>5.8922489420992881E-2</v>
      </c>
    </row>
    <row r="16" spans="1:16" x14ac:dyDescent="0.2">
      <c r="A16" s="22" t="s">
        <v>44</v>
      </c>
      <c r="B16" s="23">
        <v>791</v>
      </c>
      <c r="C16" s="25">
        <f t="shared" si="7"/>
        <v>1.7977272727272727E-2</v>
      </c>
      <c r="D16" s="23"/>
      <c r="E16" s="34">
        <f t="shared" si="8"/>
        <v>2373.0000000000005</v>
      </c>
      <c r="F16" s="23">
        <f t="shared" si="9"/>
        <v>12.656000000000001</v>
      </c>
      <c r="G16" s="23">
        <f t="shared" si="10"/>
        <v>9.4920000000000009</v>
      </c>
      <c r="H16" s="23">
        <f t="shared" si="11"/>
        <v>593.25</v>
      </c>
      <c r="I16" s="23">
        <f t="shared" si="12"/>
        <v>427.14000000000004</v>
      </c>
      <c r="J16" s="23">
        <f t="shared" si="13"/>
        <v>13782.384</v>
      </c>
      <c r="K16" s="23">
        <f t="shared" si="14"/>
        <v>39.550000000000004</v>
      </c>
      <c r="L16" s="23">
        <f t="shared" si="15"/>
        <v>382.84399999999999</v>
      </c>
      <c r="M16" s="23">
        <f t="shared" si="16"/>
        <v>870.1</v>
      </c>
      <c r="N16" s="23">
        <f t="shared" si="2"/>
        <v>0.4729446935724963</v>
      </c>
      <c r="O16" s="24">
        <f t="shared" ref="O16:O106" si="18">M16/7559.2</f>
        <v>0.115104772991851</v>
      </c>
      <c r="P16" s="24">
        <f t="shared" si="17"/>
        <v>8.1638972030137272E-2</v>
      </c>
    </row>
    <row r="17" spans="1:16" x14ac:dyDescent="0.2">
      <c r="A17" s="22" t="s">
        <v>139</v>
      </c>
      <c r="B17" s="23">
        <v>634.20000000000005</v>
      </c>
      <c r="C17" s="25">
        <f t="shared" si="7"/>
        <v>1.4413636363636365E-2</v>
      </c>
      <c r="D17" s="23"/>
      <c r="E17" s="34">
        <f t="shared" si="8"/>
        <v>1902.6000000000004</v>
      </c>
      <c r="F17" s="23">
        <f t="shared" si="9"/>
        <v>10.147200000000002</v>
      </c>
      <c r="G17" s="23">
        <f t="shared" si="10"/>
        <v>7.6104000000000003</v>
      </c>
      <c r="H17" s="23">
        <f t="shared" si="11"/>
        <v>475.65000000000003</v>
      </c>
      <c r="I17" s="23">
        <f t="shared" si="12"/>
        <v>342.46800000000007</v>
      </c>
      <c r="J17" s="23">
        <f t="shared" si="13"/>
        <v>11050.300800000001</v>
      </c>
      <c r="K17" s="23">
        <f t="shared" si="14"/>
        <v>31.710000000000004</v>
      </c>
      <c r="L17" s="23">
        <f t="shared" si="15"/>
        <v>306.95280000000002</v>
      </c>
      <c r="M17" s="23">
        <f t="shared" si="16"/>
        <v>697.62000000000012</v>
      </c>
      <c r="N17" s="23">
        <f t="shared" si="2"/>
        <v>0.37919282511210767</v>
      </c>
      <c r="O17" s="24">
        <f t="shared" si="18"/>
        <v>9.2287543655413293E-2</v>
      </c>
      <c r="P17" s="24">
        <f t="shared" si="17"/>
        <v>6.5455671379915384E-2</v>
      </c>
    </row>
    <row r="18" spans="1:16" x14ac:dyDescent="0.2">
      <c r="A18" s="22" t="s">
        <v>137</v>
      </c>
      <c r="B18" s="23">
        <v>1230.4000000000001</v>
      </c>
      <c r="C18" s="25">
        <f t="shared" si="7"/>
        <v>2.7963636363636364E-2</v>
      </c>
      <c r="D18" s="23"/>
      <c r="E18" s="34">
        <f t="shared" si="8"/>
        <v>3691.2000000000007</v>
      </c>
      <c r="F18" s="23">
        <f t="shared" si="9"/>
        <v>19.686400000000003</v>
      </c>
      <c r="G18" s="23">
        <f t="shared" si="10"/>
        <v>14.764800000000001</v>
      </c>
      <c r="H18" s="23">
        <f t="shared" si="11"/>
        <v>922.80000000000007</v>
      </c>
      <c r="I18" s="23">
        <f t="shared" si="12"/>
        <v>664.41600000000005</v>
      </c>
      <c r="J18" s="23">
        <f t="shared" si="13"/>
        <v>21438.489600000001</v>
      </c>
      <c r="K18" s="23">
        <f t="shared" si="14"/>
        <v>61.52000000000001</v>
      </c>
      <c r="L18" s="23">
        <f t="shared" si="15"/>
        <v>595.5136</v>
      </c>
      <c r="M18" s="23">
        <f t="shared" si="16"/>
        <v>1353.4400000000003</v>
      </c>
      <c r="N18" s="23">
        <f t="shared" si="2"/>
        <v>0.7356651718983559</v>
      </c>
      <c r="O18" s="24">
        <f t="shared" si="18"/>
        <v>0.17904540162980215</v>
      </c>
      <c r="P18" s="24">
        <f t="shared" si="17"/>
        <v>0.12698936938796576</v>
      </c>
    </row>
    <row r="19" spans="1:16" x14ac:dyDescent="0.2">
      <c r="A19" s="22" t="s">
        <v>138</v>
      </c>
      <c r="B19" s="23">
        <v>1672.5</v>
      </c>
      <c r="C19" s="25">
        <f t="shared" si="7"/>
        <v>3.8011363636363635E-2</v>
      </c>
      <c r="D19" s="23"/>
      <c r="E19" s="34">
        <f t="shared" si="8"/>
        <v>5017.5</v>
      </c>
      <c r="F19" s="23">
        <f t="shared" si="9"/>
        <v>26.76</v>
      </c>
      <c r="G19" s="23">
        <f t="shared" si="10"/>
        <v>20.07</v>
      </c>
      <c r="H19" s="23">
        <f t="shared" si="11"/>
        <v>1254.375</v>
      </c>
      <c r="I19" s="23">
        <f t="shared" si="12"/>
        <v>903.15000000000009</v>
      </c>
      <c r="J19" s="23">
        <f t="shared" si="13"/>
        <v>29141.640000000003</v>
      </c>
      <c r="K19" s="23">
        <f t="shared" si="14"/>
        <v>83.625</v>
      </c>
      <c r="L19" s="23">
        <f t="shared" si="15"/>
        <v>809.49</v>
      </c>
      <c r="M19" s="23">
        <f t="shared" si="16"/>
        <v>1839.7500000000002</v>
      </c>
      <c r="N19" s="23">
        <f>M19/1839.75</f>
        <v>1.0000000000000002</v>
      </c>
      <c r="O19" s="24">
        <f t="shared" si="18"/>
        <v>0.24337892898719446</v>
      </c>
      <c r="P19" s="24">
        <f t="shared" si="17"/>
        <v>0.1726184332748478</v>
      </c>
    </row>
    <row r="20" spans="1:16" x14ac:dyDescent="0.2">
      <c r="A20" s="22"/>
      <c r="B20" s="23"/>
      <c r="C20" s="25"/>
      <c r="D20" s="23"/>
      <c r="E20" s="34"/>
      <c r="F20" s="23"/>
      <c r="G20" s="23"/>
      <c r="H20" s="23"/>
      <c r="I20" s="23"/>
      <c r="J20" s="23"/>
      <c r="K20" s="23"/>
      <c r="L20" s="23"/>
      <c r="M20" s="23"/>
      <c r="N20" s="23"/>
      <c r="O20" s="24"/>
      <c r="P20" s="24"/>
    </row>
    <row r="21" spans="1:16" x14ac:dyDescent="0.2">
      <c r="A21" s="26" t="s">
        <v>130</v>
      </c>
      <c r="B21" s="23"/>
      <c r="C21" s="25"/>
      <c r="D21" s="23"/>
      <c r="E21" s="34"/>
      <c r="F21" s="23"/>
      <c r="G21" s="23"/>
      <c r="H21" s="23"/>
      <c r="I21" s="23"/>
      <c r="J21" s="23"/>
      <c r="K21" s="23"/>
      <c r="L21" s="23"/>
      <c r="M21" s="23"/>
      <c r="N21" s="23"/>
      <c r="O21" s="24"/>
      <c r="P21" s="24"/>
    </row>
    <row r="22" spans="1:16" x14ac:dyDescent="0.2">
      <c r="A22" s="22" t="s">
        <v>10</v>
      </c>
      <c r="B22" s="23">
        <v>6.61</v>
      </c>
      <c r="C22" s="25">
        <f t="shared" ref="C22:C39" si="19">B22/44000</f>
        <v>1.5022727272727274E-4</v>
      </c>
      <c r="D22" s="23"/>
      <c r="E22" s="34">
        <f t="shared" ref="E22:E39" si="20">B22/1.2*3.6</f>
        <v>19.830000000000002</v>
      </c>
      <c r="F22" s="23">
        <f t="shared" ref="F22:F39" si="21">B22*0.016</f>
        <v>0.10576000000000001</v>
      </c>
      <c r="G22" s="23">
        <f t="shared" ref="G22:G39" si="22">B22*0.012</f>
        <v>7.9320000000000002E-2</v>
      </c>
      <c r="H22" s="23">
        <f t="shared" ref="H22:H39" si="23">B22*0.75</f>
        <v>4.9575000000000005</v>
      </c>
      <c r="I22" s="23">
        <f t="shared" ref="I22:I39" si="24">B22*0.54</f>
        <v>3.5694000000000004</v>
      </c>
      <c r="J22" s="23">
        <f t="shared" ref="J22:J39" si="25">B22*0.0004*43560</f>
        <v>115.17264</v>
      </c>
      <c r="K22" s="23">
        <f t="shared" ref="K22:K39" si="26">B22*0.05</f>
        <v>0.33050000000000002</v>
      </c>
      <c r="L22" s="23">
        <f t="shared" ref="L22:L39" si="27">B22*0.484</f>
        <v>3.1992400000000001</v>
      </c>
      <c r="M22" s="23">
        <f t="shared" ref="M22:M39" si="28">B22*1.1</f>
        <v>7.2710000000000008</v>
      </c>
      <c r="N22" s="23">
        <f t="shared" ref="N22:N83" si="29">M22/1839.75</f>
        <v>3.9521674140508226E-3</v>
      </c>
      <c r="O22" s="24">
        <f t="shared" si="18"/>
        <v>9.6187427240977891E-4</v>
      </c>
      <c r="P22" s="24">
        <f t="shared" ref="P22:P39" si="30">M22/10657.9</f>
        <v>6.8221694705335959E-4</v>
      </c>
    </row>
    <row r="23" spans="1:16" x14ac:dyDescent="0.2">
      <c r="A23" s="22" t="s">
        <v>11</v>
      </c>
      <c r="B23" s="23">
        <v>1.76</v>
      </c>
      <c r="C23" s="25">
        <f t="shared" si="19"/>
        <v>4.0000000000000003E-5</v>
      </c>
      <c r="D23" s="23"/>
      <c r="E23" s="34">
        <f t="shared" si="20"/>
        <v>5.28</v>
      </c>
      <c r="F23" s="23">
        <f t="shared" si="21"/>
        <v>2.8160000000000001E-2</v>
      </c>
      <c r="G23" s="23">
        <f t="shared" si="22"/>
        <v>2.112E-2</v>
      </c>
      <c r="H23" s="23">
        <f t="shared" si="23"/>
        <v>1.32</v>
      </c>
      <c r="I23" s="23">
        <f t="shared" si="24"/>
        <v>0.95040000000000002</v>
      </c>
      <c r="J23" s="23">
        <f t="shared" si="25"/>
        <v>30.666240000000005</v>
      </c>
      <c r="K23" s="23">
        <f t="shared" si="26"/>
        <v>8.8000000000000009E-2</v>
      </c>
      <c r="L23" s="23">
        <f t="shared" si="27"/>
        <v>0.85183999999999993</v>
      </c>
      <c r="M23" s="23">
        <f t="shared" si="28"/>
        <v>1.9360000000000002</v>
      </c>
      <c r="N23" s="23">
        <f t="shared" si="29"/>
        <v>1.0523168908819134E-3</v>
      </c>
      <c r="O23" s="24">
        <f t="shared" si="18"/>
        <v>2.561117578579744E-4</v>
      </c>
      <c r="P23" s="24">
        <f t="shared" si="30"/>
        <v>1.8164929301269482E-4</v>
      </c>
    </row>
    <row r="24" spans="1:16" x14ac:dyDescent="0.2">
      <c r="A24" s="22" t="s">
        <v>12</v>
      </c>
      <c r="B24" s="23">
        <v>1.72</v>
      </c>
      <c r="C24" s="25">
        <f t="shared" si="19"/>
        <v>3.9090909090909092E-5</v>
      </c>
      <c r="D24" s="23"/>
      <c r="E24" s="34">
        <f t="shared" si="20"/>
        <v>5.16</v>
      </c>
      <c r="F24" s="23">
        <f t="shared" si="21"/>
        <v>2.7519999999999999E-2</v>
      </c>
      <c r="G24" s="23">
        <f t="shared" si="22"/>
        <v>2.0639999999999999E-2</v>
      </c>
      <c r="H24" s="23">
        <f t="shared" si="23"/>
        <v>1.29</v>
      </c>
      <c r="I24" s="23">
        <f t="shared" si="24"/>
        <v>0.92880000000000007</v>
      </c>
      <c r="J24" s="23">
        <f t="shared" si="25"/>
        <v>29.969280000000001</v>
      </c>
      <c r="K24" s="23">
        <f t="shared" si="26"/>
        <v>8.6000000000000007E-2</v>
      </c>
      <c r="L24" s="23">
        <f t="shared" si="27"/>
        <v>0.83248</v>
      </c>
      <c r="M24" s="23">
        <f t="shared" si="28"/>
        <v>1.8920000000000001</v>
      </c>
      <c r="N24" s="23">
        <f t="shared" si="29"/>
        <v>1.0284005979073244E-3</v>
      </c>
      <c r="O24" s="24">
        <f t="shared" si="18"/>
        <v>2.5029103608847502E-4</v>
      </c>
      <c r="P24" s="24">
        <f t="shared" si="30"/>
        <v>1.7752089998967902E-4</v>
      </c>
    </row>
    <row r="25" spans="1:16" x14ac:dyDescent="0.2">
      <c r="A25" s="22" t="s">
        <v>13</v>
      </c>
      <c r="B25" s="23">
        <v>1.26</v>
      </c>
      <c r="C25" s="25">
        <f t="shared" si="19"/>
        <v>2.8636363636363637E-5</v>
      </c>
      <c r="D25" s="23"/>
      <c r="E25" s="34">
        <f t="shared" si="20"/>
        <v>3.7800000000000002</v>
      </c>
      <c r="F25" s="23">
        <f t="shared" si="21"/>
        <v>2.0160000000000001E-2</v>
      </c>
      <c r="G25" s="23">
        <f t="shared" si="22"/>
        <v>1.512E-2</v>
      </c>
      <c r="H25" s="23">
        <f t="shared" si="23"/>
        <v>0.94500000000000006</v>
      </c>
      <c r="I25" s="23">
        <f t="shared" si="24"/>
        <v>0.6804</v>
      </c>
      <c r="J25" s="23">
        <f t="shared" si="25"/>
        <v>21.954239999999999</v>
      </c>
      <c r="K25" s="23">
        <f t="shared" si="26"/>
        <v>6.3E-2</v>
      </c>
      <c r="L25" s="23">
        <f t="shared" si="27"/>
        <v>0.60983999999999994</v>
      </c>
      <c r="M25" s="23">
        <f t="shared" si="28"/>
        <v>1.3860000000000001</v>
      </c>
      <c r="N25" s="23">
        <f t="shared" si="29"/>
        <v>7.5336322869955165E-4</v>
      </c>
      <c r="O25" s="24">
        <f t="shared" si="18"/>
        <v>1.8335273573923168E-4</v>
      </c>
      <c r="P25" s="24">
        <f t="shared" si="30"/>
        <v>1.3004438022499743E-4</v>
      </c>
    </row>
    <row r="26" spans="1:16" x14ac:dyDescent="0.2">
      <c r="A26" s="22" t="s">
        <v>15</v>
      </c>
      <c r="B26" s="23">
        <v>7.1999999999999995E-2</v>
      </c>
      <c r="C26" s="25">
        <f t="shared" si="19"/>
        <v>1.6363636363636363E-6</v>
      </c>
      <c r="D26" s="23"/>
      <c r="E26" s="34">
        <f t="shared" si="20"/>
        <v>0.216</v>
      </c>
      <c r="F26" s="23">
        <f t="shared" si="21"/>
        <v>1.152E-3</v>
      </c>
      <c r="G26" s="23">
        <f t="shared" si="22"/>
        <v>8.6399999999999997E-4</v>
      </c>
      <c r="H26" s="23">
        <f t="shared" si="23"/>
        <v>5.3999999999999992E-2</v>
      </c>
      <c r="I26" s="23">
        <f t="shared" si="24"/>
        <v>3.8879999999999998E-2</v>
      </c>
      <c r="J26" s="23">
        <f t="shared" si="25"/>
        <v>1.2545279999999999</v>
      </c>
      <c r="K26" s="23">
        <f t="shared" si="26"/>
        <v>3.5999999999999999E-3</v>
      </c>
      <c r="L26" s="23">
        <f t="shared" si="27"/>
        <v>3.4847999999999997E-2</v>
      </c>
      <c r="M26" s="23">
        <f t="shared" si="28"/>
        <v>7.9200000000000007E-2</v>
      </c>
      <c r="N26" s="23">
        <f t="shared" si="29"/>
        <v>4.3049327354260094E-5</v>
      </c>
      <c r="O26" s="24">
        <f t="shared" si="18"/>
        <v>1.0477299185098953E-5</v>
      </c>
      <c r="P26" s="24">
        <f t="shared" si="30"/>
        <v>7.4311074414284251E-6</v>
      </c>
    </row>
    <row r="27" spans="1:16" x14ac:dyDescent="0.2">
      <c r="A27" s="22" t="s">
        <v>16</v>
      </c>
      <c r="B27" s="23">
        <v>0.54</v>
      </c>
      <c r="C27" s="25">
        <f t="shared" si="19"/>
        <v>1.2272727272727273E-5</v>
      </c>
      <c r="D27" s="23"/>
      <c r="E27" s="34">
        <f t="shared" si="20"/>
        <v>1.6200000000000003</v>
      </c>
      <c r="F27" s="23">
        <f t="shared" si="21"/>
        <v>8.6400000000000001E-3</v>
      </c>
      <c r="G27" s="23">
        <f t="shared" si="22"/>
        <v>6.4800000000000005E-3</v>
      </c>
      <c r="H27" s="23">
        <f t="shared" si="23"/>
        <v>0.40500000000000003</v>
      </c>
      <c r="I27" s="23">
        <f t="shared" si="24"/>
        <v>0.29160000000000003</v>
      </c>
      <c r="J27" s="23">
        <f t="shared" si="25"/>
        <v>9.4089600000000004</v>
      </c>
      <c r="K27" s="23">
        <f t="shared" si="26"/>
        <v>2.7000000000000003E-2</v>
      </c>
      <c r="L27" s="23">
        <f t="shared" si="27"/>
        <v>0.26136000000000004</v>
      </c>
      <c r="M27" s="23">
        <f t="shared" si="28"/>
        <v>0.59400000000000008</v>
      </c>
      <c r="N27" s="23">
        <f t="shared" si="29"/>
        <v>3.228699551569507E-4</v>
      </c>
      <c r="O27" s="24">
        <f t="shared" si="18"/>
        <v>7.8579743888242151E-5</v>
      </c>
      <c r="P27" s="24">
        <f t="shared" si="30"/>
        <v>5.5733305810713188E-5</v>
      </c>
    </row>
    <row r="28" spans="1:16" x14ac:dyDescent="0.2">
      <c r="A28" s="22" t="s">
        <v>17</v>
      </c>
      <c r="B28" s="23">
        <v>7.0000000000000007E-2</v>
      </c>
      <c r="C28" s="25">
        <f t="shared" si="19"/>
        <v>1.5909090909090911E-6</v>
      </c>
      <c r="D28" s="23"/>
      <c r="E28" s="34">
        <f t="shared" si="20"/>
        <v>0.21000000000000002</v>
      </c>
      <c r="F28" s="23">
        <f t="shared" si="21"/>
        <v>1.1200000000000001E-3</v>
      </c>
      <c r="G28" s="23">
        <f t="shared" si="22"/>
        <v>8.4000000000000014E-4</v>
      </c>
      <c r="H28" s="23">
        <f t="shared" si="23"/>
        <v>5.2500000000000005E-2</v>
      </c>
      <c r="I28" s="23">
        <f t="shared" si="24"/>
        <v>3.7800000000000007E-2</v>
      </c>
      <c r="J28" s="23">
        <f t="shared" si="25"/>
        <v>1.2196800000000001</v>
      </c>
      <c r="K28" s="23">
        <f t="shared" si="26"/>
        <v>3.5000000000000005E-3</v>
      </c>
      <c r="L28" s="23">
        <f t="shared" si="27"/>
        <v>3.388E-2</v>
      </c>
      <c r="M28" s="23">
        <f t="shared" si="28"/>
        <v>7.7000000000000013E-2</v>
      </c>
      <c r="N28" s="23">
        <f t="shared" si="29"/>
        <v>4.1853512705530646E-5</v>
      </c>
      <c r="O28" s="24">
        <f t="shared" si="18"/>
        <v>1.0186263096623984E-5</v>
      </c>
      <c r="P28" s="24">
        <f t="shared" si="30"/>
        <v>7.2246877902776358E-6</v>
      </c>
    </row>
    <row r="29" spans="1:16" x14ac:dyDescent="0.2">
      <c r="A29" s="22" t="s">
        <v>169</v>
      </c>
      <c r="B29" s="23">
        <v>386</v>
      </c>
      <c r="C29" s="25">
        <f t="shared" si="19"/>
        <v>8.7727272727272723E-3</v>
      </c>
      <c r="D29" s="23"/>
      <c r="E29" s="34">
        <f t="shared" si="20"/>
        <v>1158</v>
      </c>
      <c r="F29" s="23">
        <f t="shared" si="21"/>
        <v>6.1760000000000002</v>
      </c>
      <c r="G29" s="23">
        <f t="shared" si="22"/>
        <v>4.6319999999999997</v>
      </c>
      <c r="H29" s="23">
        <f t="shared" si="23"/>
        <v>289.5</v>
      </c>
      <c r="I29" s="23">
        <f t="shared" si="24"/>
        <v>208.44000000000003</v>
      </c>
      <c r="J29" s="23">
        <f t="shared" si="25"/>
        <v>6725.6640000000007</v>
      </c>
      <c r="K29" s="23">
        <f t="shared" si="26"/>
        <v>19.3</v>
      </c>
      <c r="L29" s="23">
        <f t="shared" si="27"/>
        <v>186.82399999999998</v>
      </c>
      <c r="M29" s="23">
        <f t="shared" si="28"/>
        <v>424.6</v>
      </c>
      <c r="N29" s="23">
        <f t="shared" si="29"/>
        <v>0.23079222720478326</v>
      </c>
      <c r="O29" s="24">
        <f t="shared" si="18"/>
        <v>5.616996507566939E-2</v>
      </c>
      <c r="P29" s="24">
        <f t="shared" si="30"/>
        <v>3.9838992672102384E-2</v>
      </c>
    </row>
    <row r="30" spans="1:16" x14ac:dyDescent="0.2">
      <c r="A30" s="22" t="s">
        <v>157</v>
      </c>
      <c r="B30" s="23">
        <v>88</v>
      </c>
      <c r="C30" s="25">
        <f t="shared" si="19"/>
        <v>2E-3</v>
      </c>
      <c r="D30" s="23"/>
      <c r="E30" s="34">
        <f t="shared" si="20"/>
        <v>264.00000000000006</v>
      </c>
      <c r="F30" s="23">
        <f t="shared" si="21"/>
        <v>1.4079999999999999</v>
      </c>
      <c r="G30" s="23">
        <f t="shared" si="22"/>
        <v>1.056</v>
      </c>
      <c r="H30" s="23">
        <f t="shared" si="23"/>
        <v>66</v>
      </c>
      <c r="I30" s="23">
        <f t="shared" si="24"/>
        <v>47.52</v>
      </c>
      <c r="J30" s="23">
        <f t="shared" si="25"/>
        <v>1533.3120000000001</v>
      </c>
      <c r="K30" s="23">
        <f t="shared" si="26"/>
        <v>4.4000000000000004</v>
      </c>
      <c r="L30" s="23">
        <f t="shared" si="27"/>
        <v>42.591999999999999</v>
      </c>
      <c r="M30" s="23">
        <f t="shared" si="28"/>
        <v>96.800000000000011</v>
      </c>
      <c r="N30" s="23">
        <f t="shared" si="29"/>
        <v>5.2615844544095673E-2</v>
      </c>
      <c r="O30" s="24">
        <f t="shared" si="18"/>
        <v>1.280558789289872E-2</v>
      </c>
      <c r="P30" s="24">
        <f t="shared" si="30"/>
        <v>9.0824646506347424E-3</v>
      </c>
    </row>
    <row r="31" spans="1:16" x14ac:dyDescent="0.2">
      <c r="A31" s="22" t="s">
        <v>160</v>
      </c>
      <c r="B31" s="23">
        <v>1829.84</v>
      </c>
      <c r="C31" s="25">
        <f t="shared" si="19"/>
        <v>4.1587272727272723E-2</v>
      </c>
      <c r="D31" s="23"/>
      <c r="E31" s="34">
        <f t="shared" si="20"/>
        <v>5489.5199999999995</v>
      </c>
      <c r="F31" s="23">
        <f t="shared" si="21"/>
        <v>29.277439999999999</v>
      </c>
      <c r="G31" s="23">
        <f t="shared" si="22"/>
        <v>21.958079999999999</v>
      </c>
      <c r="H31" s="23">
        <f t="shared" si="23"/>
        <v>1372.3799999999999</v>
      </c>
      <c r="I31" s="23">
        <f t="shared" si="24"/>
        <v>988.11360000000002</v>
      </c>
      <c r="J31" s="23">
        <f t="shared" si="25"/>
        <v>31883.132160000001</v>
      </c>
      <c r="K31" s="23">
        <f t="shared" si="26"/>
        <v>91.492000000000004</v>
      </c>
      <c r="L31" s="23">
        <f t="shared" si="27"/>
        <v>885.64255999999989</v>
      </c>
      <c r="M31" s="23">
        <f t="shared" si="28"/>
        <v>2012.8240000000001</v>
      </c>
      <c r="N31" s="23">
        <f t="shared" si="29"/>
        <v>1.0940747384155456</v>
      </c>
      <c r="O31" s="24">
        <f t="shared" si="18"/>
        <v>0.26627473806752039</v>
      </c>
      <c r="P31" s="24">
        <f t="shared" si="30"/>
        <v>0.1888574672308804</v>
      </c>
    </row>
    <row r="32" spans="1:16" x14ac:dyDescent="0.2">
      <c r="A32" s="22" t="s">
        <v>154</v>
      </c>
      <c r="B32" s="23">
        <v>110</v>
      </c>
      <c r="C32" s="25">
        <f t="shared" si="19"/>
        <v>2.5000000000000001E-3</v>
      </c>
      <c r="D32" s="23"/>
      <c r="E32" s="34">
        <f t="shared" si="20"/>
        <v>330</v>
      </c>
      <c r="F32" s="23">
        <f t="shared" si="21"/>
        <v>1.76</v>
      </c>
      <c r="G32" s="23">
        <f t="shared" si="22"/>
        <v>1.32</v>
      </c>
      <c r="H32" s="23">
        <f t="shared" si="23"/>
        <v>82.5</v>
      </c>
      <c r="I32" s="23">
        <f t="shared" si="24"/>
        <v>59.400000000000006</v>
      </c>
      <c r="J32" s="23">
        <f t="shared" si="25"/>
        <v>1916.64</v>
      </c>
      <c r="K32" s="23">
        <f t="shared" si="26"/>
        <v>5.5</v>
      </c>
      <c r="L32" s="23">
        <f t="shared" si="27"/>
        <v>53.239999999999995</v>
      </c>
      <c r="M32" s="23">
        <f t="shared" si="28"/>
        <v>121.00000000000001</v>
      </c>
      <c r="N32" s="23">
        <f t="shared" si="29"/>
        <v>6.5769805680119586E-2</v>
      </c>
      <c r="O32" s="24">
        <f t="shared" si="18"/>
        <v>1.6006984866123401E-2</v>
      </c>
      <c r="P32" s="24">
        <f t="shared" si="30"/>
        <v>1.1353080813293427E-2</v>
      </c>
    </row>
    <row r="33" spans="1:16" x14ac:dyDescent="0.2">
      <c r="A33" s="22" t="s">
        <v>155</v>
      </c>
      <c r="B33" s="23">
        <v>220</v>
      </c>
      <c r="C33" s="25">
        <f t="shared" si="19"/>
        <v>5.0000000000000001E-3</v>
      </c>
      <c r="D33" s="23"/>
      <c r="E33" s="34">
        <f t="shared" si="20"/>
        <v>660</v>
      </c>
      <c r="F33" s="23">
        <f t="shared" si="21"/>
        <v>3.52</v>
      </c>
      <c r="G33" s="23">
        <f t="shared" si="22"/>
        <v>2.64</v>
      </c>
      <c r="H33" s="23">
        <f t="shared" si="23"/>
        <v>165</v>
      </c>
      <c r="I33" s="23">
        <f t="shared" si="24"/>
        <v>118.80000000000001</v>
      </c>
      <c r="J33" s="23">
        <f t="shared" si="25"/>
        <v>3833.28</v>
      </c>
      <c r="K33" s="23">
        <f t="shared" si="26"/>
        <v>11</v>
      </c>
      <c r="L33" s="23">
        <f t="shared" si="27"/>
        <v>106.47999999999999</v>
      </c>
      <c r="M33" s="23">
        <f t="shared" si="28"/>
        <v>242.00000000000003</v>
      </c>
      <c r="N33" s="23">
        <f t="shared" si="29"/>
        <v>0.13153961136023917</v>
      </c>
      <c r="O33" s="24">
        <f t="shared" si="18"/>
        <v>3.2013969732246801E-2</v>
      </c>
      <c r="P33" s="24">
        <f t="shared" si="30"/>
        <v>2.2706161626586854E-2</v>
      </c>
    </row>
    <row r="34" spans="1:16" x14ac:dyDescent="0.2">
      <c r="A34" s="22" t="s">
        <v>156</v>
      </c>
      <c r="B34" s="23">
        <v>154</v>
      </c>
      <c r="C34" s="25">
        <f t="shared" si="19"/>
        <v>3.5000000000000001E-3</v>
      </c>
      <c r="D34" s="23"/>
      <c r="E34" s="34">
        <f t="shared" si="20"/>
        <v>462.00000000000006</v>
      </c>
      <c r="F34" s="23">
        <f t="shared" si="21"/>
        <v>2.464</v>
      </c>
      <c r="G34" s="23">
        <f t="shared" si="22"/>
        <v>1.8480000000000001</v>
      </c>
      <c r="H34" s="23">
        <f t="shared" si="23"/>
        <v>115.5</v>
      </c>
      <c r="I34" s="23">
        <f t="shared" si="24"/>
        <v>83.160000000000011</v>
      </c>
      <c r="J34" s="23">
        <f t="shared" si="25"/>
        <v>2683.2960000000003</v>
      </c>
      <c r="K34" s="23">
        <f t="shared" si="26"/>
        <v>7.7</v>
      </c>
      <c r="L34" s="23">
        <f t="shared" si="27"/>
        <v>74.536000000000001</v>
      </c>
      <c r="M34" s="23">
        <f t="shared" si="28"/>
        <v>169.4</v>
      </c>
      <c r="N34" s="23">
        <f t="shared" si="29"/>
        <v>9.2077727952167412E-2</v>
      </c>
      <c r="O34" s="24">
        <f t="shared" si="18"/>
        <v>2.2409778812572761E-2</v>
      </c>
      <c r="P34" s="24">
        <f t="shared" si="30"/>
        <v>1.5894313138610797E-2</v>
      </c>
    </row>
    <row r="35" spans="1:16" x14ac:dyDescent="0.2">
      <c r="A35" s="22" t="s">
        <v>161</v>
      </c>
      <c r="B35" s="23">
        <v>243</v>
      </c>
      <c r="C35" s="25">
        <f t="shared" si="19"/>
        <v>5.5227272727272729E-3</v>
      </c>
      <c r="D35" s="23"/>
      <c r="E35" s="34">
        <f t="shared" si="20"/>
        <v>729</v>
      </c>
      <c r="F35" s="23">
        <f t="shared" si="21"/>
        <v>3.8879999999999999</v>
      </c>
      <c r="G35" s="23">
        <f t="shared" si="22"/>
        <v>2.9159999999999999</v>
      </c>
      <c r="H35" s="23">
        <f t="shared" si="23"/>
        <v>182.25</v>
      </c>
      <c r="I35" s="23">
        <f t="shared" si="24"/>
        <v>131.22</v>
      </c>
      <c r="J35" s="23">
        <f t="shared" si="25"/>
        <v>4234.0320000000002</v>
      </c>
      <c r="K35" s="23">
        <f t="shared" si="26"/>
        <v>12.15</v>
      </c>
      <c r="L35" s="23">
        <f t="shared" si="27"/>
        <v>117.61199999999999</v>
      </c>
      <c r="M35" s="23">
        <f t="shared" si="28"/>
        <v>267.3</v>
      </c>
      <c r="N35" s="23">
        <f t="shared" si="29"/>
        <v>0.14529147982062782</v>
      </c>
      <c r="O35" s="24">
        <f t="shared" si="18"/>
        <v>3.5360884749708964E-2</v>
      </c>
      <c r="P35" s="24">
        <f t="shared" si="30"/>
        <v>2.5079987614820932E-2</v>
      </c>
    </row>
    <row r="36" spans="1:16" x14ac:dyDescent="0.2">
      <c r="A36" s="22" t="s">
        <v>164</v>
      </c>
      <c r="B36" s="23">
        <v>231</v>
      </c>
      <c r="C36" s="25">
        <f t="shared" si="19"/>
        <v>5.2500000000000003E-3</v>
      </c>
      <c r="D36" s="23"/>
      <c r="E36" s="34">
        <f t="shared" si="20"/>
        <v>693</v>
      </c>
      <c r="F36" s="23">
        <f t="shared" si="21"/>
        <v>3.6960000000000002</v>
      </c>
      <c r="G36" s="23">
        <f t="shared" si="22"/>
        <v>2.7720000000000002</v>
      </c>
      <c r="H36" s="23">
        <f t="shared" si="23"/>
        <v>173.25</v>
      </c>
      <c r="I36" s="23">
        <f t="shared" si="24"/>
        <v>124.74000000000001</v>
      </c>
      <c r="J36" s="23">
        <f t="shared" si="25"/>
        <v>4024.9440000000004</v>
      </c>
      <c r="K36" s="23">
        <f t="shared" si="26"/>
        <v>11.55</v>
      </c>
      <c r="L36" s="23">
        <f t="shared" si="27"/>
        <v>111.804</v>
      </c>
      <c r="M36" s="23">
        <f t="shared" si="28"/>
        <v>254.10000000000002</v>
      </c>
      <c r="N36" s="23">
        <f t="shared" si="29"/>
        <v>0.13811659192825113</v>
      </c>
      <c r="O36" s="24">
        <f t="shared" si="18"/>
        <v>3.3614668218859139E-2</v>
      </c>
      <c r="P36" s="24">
        <f t="shared" si="30"/>
        <v>2.3841469707916195E-2</v>
      </c>
    </row>
    <row r="37" spans="1:16" x14ac:dyDescent="0.2">
      <c r="A37" s="22" t="s">
        <v>165</v>
      </c>
      <c r="B37" s="23">
        <v>551</v>
      </c>
      <c r="C37" s="25">
        <f t="shared" si="19"/>
        <v>1.2522727272727272E-2</v>
      </c>
      <c r="D37" s="23"/>
      <c r="E37" s="34">
        <f t="shared" si="20"/>
        <v>1653</v>
      </c>
      <c r="F37" s="23">
        <f t="shared" si="21"/>
        <v>8.8160000000000007</v>
      </c>
      <c r="G37" s="23">
        <f t="shared" si="22"/>
        <v>6.6120000000000001</v>
      </c>
      <c r="H37" s="23">
        <f t="shared" si="23"/>
        <v>413.25</v>
      </c>
      <c r="I37" s="23">
        <f t="shared" si="24"/>
        <v>297.54000000000002</v>
      </c>
      <c r="J37" s="23">
        <f t="shared" si="25"/>
        <v>9600.6239999999998</v>
      </c>
      <c r="K37" s="23">
        <f t="shared" si="26"/>
        <v>27.55</v>
      </c>
      <c r="L37" s="23">
        <f t="shared" si="27"/>
        <v>266.68399999999997</v>
      </c>
      <c r="M37" s="23">
        <f t="shared" si="28"/>
        <v>606.1</v>
      </c>
      <c r="N37" s="23">
        <f t="shared" si="29"/>
        <v>0.32944693572496264</v>
      </c>
      <c r="O37" s="24">
        <f t="shared" si="18"/>
        <v>8.0180442374854485E-2</v>
      </c>
      <c r="P37" s="24">
        <f t="shared" si="30"/>
        <v>5.6868613892042529E-2</v>
      </c>
    </row>
    <row r="38" spans="1:16" x14ac:dyDescent="0.2">
      <c r="A38" s="22" t="s">
        <v>162</v>
      </c>
      <c r="B38" s="23">
        <v>133</v>
      </c>
      <c r="C38" s="25">
        <f t="shared" si="19"/>
        <v>3.0227272727272728E-3</v>
      </c>
      <c r="D38" s="23"/>
      <c r="E38" s="34">
        <f t="shared" si="20"/>
        <v>399.00000000000006</v>
      </c>
      <c r="F38" s="23">
        <f t="shared" si="21"/>
        <v>2.1280000000000001</v>
      </c>
      <c r="G38" s="23">
        <f t="shared" si="22"/>
        <v>1.5960000000000001</v>
      </c>
      <c r="H38" s="23">
        <f t="shared" si="23"/>
        <v>99.75</v>
      </c>
      <c r="I38" s="23">
        <f t="shared" si="24"/>
        <v>71.820000000000007</v>
      </c>
      <c r="J38" s="23">
        <f t="shared" si="25"/>
        <v>2317.3920000000003</v>
      </c>
      <c r="K38" s="23">
        <f t="shared" si="26"/>
        <v>6.65</v>
      </c>
      <c r="L38" s="23">
        <f t="shared" si="27"/>
        <v>64.372</v>
      </c>
      <c r="M38" s="23">
        <f t="shared" si="28"/>
        <v>146.30000000000001</v>
      </c>
      <c r="N38" s="23">
        <f t="shared" si="29"/>
        <v>7.9521674140508231E-2</v>
      </c>
      <c r="O38" s="24">
        <f t="shared" si="18"/>
        <v>1.9353899883585567E-2</v>
      </c>
      <c r="P38" s="24">
        <f t="shared" si="30"/>
        <v>1.3726906801527506E-2</v>
      </c>
    </row>
    <row r="39" spans="1:16" x14ac:dyDescent="0.2">
      <c r="A39" s="22" t="s">
        <v>163</v>
      </c>
      <c r="B39" s="23">
        <v>243</v>
      </c>
      <c r="C39" s="25">
        <f t="shared" si="19"/>
        <v>5.5227272727272729E-3</v>
      </c>
      <c r="D39" s="23"/>
      <c r="E39" s="34">
        <f t="shared" si="20"/>
        <v>729</v>
      </c>
      <c r="F39" s="23">
        <f t="shared" si="21"/>
        <v>3.8879999999999999</v>
      </c>
      <c r="G39" s="23">
        <f t="shared" si="22"/>
        <v>2.9159999999999999</v>
      </c>
      <c r="H39" s="23">
        <f t="shared" si="23"/>
        <v>182.25</v>
      </c>
      <c r="I39" s="23">
        <f t="shared" si="24"/>
        <v>131.22</v>
      </c>
      <c r="J39" s="23">
        <f t="shared" si="25"/>
        <v>4234.0320000000002</v>
      </c>
      <c r="K39" s="23">
        <f t="shared" si="26"/>
        <v>12.15</v>
      </c>
      <c r="L39" s="23">
        <f t="shared" si="27"/>
        <v>117.61199999999999</v>
      </c>
      <c r="M39" s="23">
        <f t="shared" si="28"/>
        <v>267.3</v>
      </c>
      <c r="N39" s="23">
        <f t="shared" si="29"/>
        <v>0.14529147982062782</v>
      </c>
      <c r="O39" s="24">
        <f t="shared" si="18"/>
        <v>3.5360884749708964E-2</v>
      </c>
      <c r="P39" s="24">
        <f t="shared" si="30"/>
        <v>2.5079987614820932E-2</v>
      </c>
    </row>
    <row r="40" spans="1:16" x14ac:dyDescent="0.2">
      <c r="A40" s="22"/>
      <c r="B40" s="23"/>
      <c r="C40" s="25"/>
      <c r="D40" s="23"/>
      <c r="E40" s="34"/>
      <c r="F40" s="23"/>
      <c r="G40" s="23"/>
      <c r="H40" s="23"/>
      <c r="I40" s="23"/>
      <c r="J40" s="23"/>
      <c r="K40" s="23"/>
      <c r="L40" s="23"/>
      <c r="M40" s="23"/>
      <c r="N40" s="23">
        <f t="shared" si="29"/>
        <v>0</v>
      </c>
      <c r="O40" s="24"/>
      <c r="P40" s="24"/>
    </row>
    <row r="41" spans="1:16" x14ac:dyDescent="0.2">
      <c r="A41" s="26" t="s">
        <v>131</v>
      </c>
      <c r="B41" s="23"/>
      <c r="C41" s="25"/>
      <c r="D41" s="23"/>
      <c r="E41" s="34"/>
      <c r="F41" s="23"/>
      <c r="G41" s="23"/>
      <c r="H41" s="23"/>
      <c r="I41" s="23"/>
      <c r="J41" s="23"/>
      <c r="K41" s="23"/>
      <c r="L41" s="23"/>
      <c r="M41" s="23"/>
      <c r="N41" s="23">
        <f t="shared" si="29"/>
        <v>0</v>
      </c>
      <c r="O41" s="24"/>
      <c r="P41" s="24"/>
    </row>
    <row r="42" spans="1:16" s="13" customFormat="1" ht="32" x14ac:dyDescent="0.2">
      <c r="A42" s="27" t="s">
        <v>179</v>
      </c>
      <c r="B42" s="28">
        <f t="shared" ref="B42:B76" si="31">D42*1.2</f>
        <v>31651.199999999997</v>
      </c>
      <c r="C42" s="30">
        <f t="shared" ref="C42:C77" si="32">B42/44000</f>
        <v>0.71934545454545451</v>
      </c>
      <c r="D42" s="28">
        <v>26376</v>
      </c>
      <c r="E42" s="34">
        <f t="shared" ref="E42:E77" si="33">B42/1.2*3.6</f>
        <v>94953.600000000006</v>
      </c>
      <c r="F42" s="28">
        <f t="shared" ref="F42:F77" si="34">B42*0.016</f>
        <v>506.41919999999999</v>
      </c>
      <c r="G42" s="28">
        <f t="shared" ref="G42:G77" si="35">B42*0.012</f>
        <v>379.81439999999998</v>
      </c>
      <c r="H42" s="28">
        <f t="shared" ref="H42:H77" si="36">B42*0.75</f>
        <v>23738.399999999998</v>
      </c>
      <c r="I42" s="28">
        <f t="shared" ref="I42:I77" si="37">B42*0.54</f>
        <v>17091.648000000001</v>
      </c>
      <c r="J42" s="28">
        <f t="shared" ref="J42:J77" si="38">B42*0.0004*43560</f>
        <v>551490.50879999995</v>
      </c>
      <c r="K42" s="28">
        <f t="shared" ref="K42:K77" si="39">B42*0.05</f>
        <v>1582.56</v>
      </c>
      <c r="L42" s="28">
        <f t="shared" ref="L42:L77" si="40">B42*0.484</f>
        <v>15319.180799999998</v>
      </c>
      <c r="M42" s="28">
        <f t="shared" ref="M42:M77" si="41">B42*1.1</f>
        <v>34816.32</v>
      </c>
      <c r="N42" s="23">
        <f t="shared" si="29"/>
        <v>18.924484304932736</v>
      </c>
      <c r="O42" s="29">
        <f t="shared" si="18"/>
        <v>4.6058207217694997</v>
      </c>
      <c r="P42" s="29">
        <f t="shared" ref="P42:P77" si="42">M42/10657.9</f>
        <v>3.2667148312519352</v>
      </c>
    </row>
    <row r="43" spans="1:16" s="13" customFormat="1" x14ac:dyDescent="0.2">
      <c r="A43" s="27" t="s">
        <v>180</v>
      </c>
      <c r="B43" s="28">
        <f t="shared" si="31"/>
        <v>12173.538461538461</v>
      </c>
      <c r="C43" s="30">
        <f t="shared" si="32"/>
        <v>0.27667132867132865</v>
      </c>
      <c r="D43" s="28">
        <f>D42/2.6</f>
        <v>10144.615384615385</v>
      </c>
      <c r="E43" s="34">
        <f t="shared" si="33"/>
        <v>36520.615384615383</v>
      </c>
      <c r="F43" s="28">
        <f t="shared" si="34"/>
        <v>194.77661538461538</v>
      </c>
      <c r="G43" s="28">
        <f t="shared" si="35"/>
        <v>146.08246153846153</v>
      </c>
      <c r="H43" s="28">
        <f t="shared" si="36"/>
        <v>9130.1538461538457</v>
      </c>
      <c r="I43" s="28">
        <f t="shared" si="37"/>
        <v>6573.7107692307691</v>
      </c>
      <c r="J43" s="28">
        <f t="shared" si="38"/>
        <v>212111.73415384616</v>
      </c>
      <c r="K43" s="28">
        <f t="shared" si="39"/>
        <v>608.67692307692312</v>
      </c>
      <c r="L43" s="28">
        <f t="shared" si="40"/>
        <v>5891.9926153846145</v>
      </c>
      <c r="M43" s="28">
        <f t="shared" si="41"/>
        <v>13390.892307692307</v>
      </c>
      <c r="N43" s="23">
        <f t="shared" si="29"/>
        <v>7.2786478095895131</v>
      </c>
      <c r="O43" s="29">
        <f t="shared" si="18"/>
        <v>1.7714695083728844</v>
      </c>
      <c r="P43" s="29">
        <f t="shared" si="42"/>
        <v>1.2564287812507444</v>
      </c>
    </row>
    <row r="44" spans="1:16" x14ac:dyDescent="0.2">
      <c r="A44" s="31" t="s">
        <v>177</v>
      </c>
      <c r="B44" s="23">
        <f t="shared" si="31"/>
        <v>12660</v>
      </c>
      <c r="C44" s="25">
        <f t="shared" si="32"/>
        <v>0.28772727272727272</v>
      </c>
      <c r="D44" s="23">
        <v>10550</v>
      </c>
      <c r="E44" s="34">
        <f t="shared" si="33"/>
        <v>37980</v>
      </c>
      <c r="F44" s="23">
        <f t="shared" si="34"/>
        <v>202.56</v>
      </c>
      <c r="G44" s="23">
        <f t="shared" si="35"/>
        <v>151.92000000000002</v>
      </c>
      <c r="H44" s="23">
        <f t="shared" si="36"/>
        <v>9495</v>
      </c>
      <c r="I44" s="23">
        <f t="shared" si="37"/>
        <v>6836.4000000000005</v>
      </c>
      <c r="J44" s="23">
        <f t="shared" si="38"/>
        <v>220587.84</v>
      </c>
      <c r="K44" s="23">
        <f t="shared" si="39"/>
        <v>633</v>
      </c>
      <c r="L44" s="23">
        <f t="shared" si="40"/>
        <v>6127.44</v>
      </c>
      <c r="M44" s="23">
        <f t="shared" si="41"/>
        <v>13926.000000000002</v>
      </c>
      <c r="N44" s="23">
        <f t="shared" si="29"/>
        <v>7.5695067264574005</v>
      </c>
      <c r="O44" s="24">
        <f t="shared" si="18"/>
        <v>1.842258440046566</v>
      </c>
      <c r="P44" s="24">
        <f t="shared" si="42"/>
        <v>1.3066363917844981</v>
      </c>
    </row>
    <row r="45" spans="1:16" x14ac:dyDescent="0.2">
      <c r="A45" s="31" t="s">
        <v>181</v>
      </c>
      <c r="B45" s="23">
        <f t="shared" si="31"/>
        <v>4869.2307692307686</v>
      </c>
      <c r="C45" s="25">
        <f t="shared" si="32"/>
        <v>0.11066433566433564</v>
      </c>
      <c r="D45" s="23">
        <f>D44/2.6</f>
        <v>4057.6923076923076</v>
      </c>
      <c r="E45" s="34">
        <f t="shared" si="33"/>
        <v>14607.692307692307</v>
      </c>
      <c r="F45" s="23">
        <f t="shared" si="34"/>
        <v>77.907692307692301</v>
      </c>
      <c r="G45" s="23">
        <f t="shared" si="35"/>
        <v>58.430769230769222</v>
      </c>
      <c r="H45" s="23">
        <f t="shared" si="36"/>
        <v>3651.9230769230762</v>
      </c>
      <c r="I45" s="23">
        <f t="shared" si="37"/>
        <v>2629.3846153846152</v>
      </c>
      <c r="J45" s="23">
        <f t="shared" si="38"/>
        <v>84841.476923076916</v>
      </c>
      <c r="K45" s="23">
        <f t="shared" si="39"/>
        <v>243.46153846153845</v>
      </c>
      <c r="L45" s="23">
        <f t="shared" si="40"/>
        <v>2356.707692307692</v>
      </c>
      <c r="M45" s="23">
        <f t="shared" si="41"/>
        <v>5356.1538461538457</v>
      </c>
      <c r="N45" s="23">
        <f t="shared" si="29"/>
        <v>2.9113487409451531</v>
      </c>
      <c r="O45" s="24">
        <f t="shared" si="18"/>
        <v>0.70856093847944834</v>
      </c>
      <c r="P45" s="24">
        <f t="shared" si="42"/>
        <v>0.50255245837865303</v>
      </c>
    </row>
    <row r="46" spans="1:16" x14ac:dyDescent="0.2">
      <c r="A46" s="22" t="s">
        <v>18</v>
      </c>
      <c r="B46" s="23">
        <f t="shared" si="31"/>
        <v>218.4</v>
      </c>
      <c r="C46" s="25">
        <f t="shared" si="32"/>
        <v>4.9636363636363636E-3</v>
      </c>
      <c r="D46" s="23">
        <v>182</v>
      </c>
      <c r="E46" s="34">
        <f t="shared" si="33"/>
        <v>655.20000000000005</v>
      </c>
      <c r="F46" s="23">
        <f t="shared" si="34"/>
        <v>3.4944000000000002</v>
      </c>
      <c r="G46" s="23">
        <f t="shared" si="35"/>
        <v>2.6208</v>
      </c>
      <c r="H46" s="23">
        <f t="shared" si="36"/>
        <v>163.80000000000001</v>
      </c>
      <c r="I46" s="23">
        <f t="shared" si="37"/>
        <v>117.93600000000001</v>
      </c>
      <c r="J46" s="23">
        <f t="shared" si="38"/>
        <v>3805.4016000000001</v>
      </c>
      <c r="K46" s="23">
        <f t="shared" si="39"/>
        <v>10.920000000000002</v>
      </c>
      <c r="L46" s="23">
        <f t="shared" si="40"/>
        <v>105.7056</v>
      </c>
      <c r="M46" s="23">
        <f t="shared" si="41"/>
        <v>240.24000000000004</v>
      </c>
      <c r="N46" s="23">
        <f t="shared" si="29"/>
        <v>0.13058295964125563</v>
      </c>
      <c r="O46" s="24">
        <f t="shared" si="18"/>
        <v>3.1781140861466828E-2</v>
      </c>
      <c r="P46" s="24">
        <f t="shared" si="42"/>
        <v>2.2541025905666225E-2</v>
      </c>
    </row>
    <row r="47" spans="1:16" x14ac:dyDescent="0.2">
      <c r="A47" s="22" t="s">
        <v>20</v>
      </c>
      <c r="B47" s="23">
        <f t="shared" si="31"/>
        <v>233.892</v>
      </c>
      <c r="C47" s="25">
        <f t="shared" si="32"/>
        <v>5.3157272727272723E-3</v>
      </c>
      <c r="D47" s="23">
        <v>194.91</v>
      </c>
      <c r="E47" s="34">
        <f t="shared" si="33"/>
        <v>701.67600000000004</v>
      </c>
      <c r="F47" s="23">
        <f t="shared" si="34"/>
        <v>3.7422719999999998</v>
      </c>
      <c r="G47" s="23">
        <f t="shared" si="35"/>
        <v>2.8067039999999999</v>
      </c>
      <c r="H47" s="23">
        <f t="shared" si="36"/>
        <v>175.41899999999998</v>
      </c>
      <c r="I47" s="23">
        <f t="shared" si="37"/>
        <v>126.30168</v>
      </c>
      <c r="J47" s="23">
        <f t="shared" si="38"/>
        <v>4075.3342080000002</v>
      </c>
      <c r="K47" s="23">
        <f t="shared" si="39"/>
        <v>11.694600000000001</v>
      </c>
      <c r="L47" s="23">
        <f t="shared" si="40"/>
        <v>113.203728</v>
      </c>
      <c r="M47" s="23">
        <f t="shared" si="41"/>
        <v>257.28120000000001</v>
      </c>
      <c r="N47" s="23">
        <f t="shared" si="29"/>
        <v>0.1398457399103139</v>
      </c>
      <c r="O47" s="24">
        <f t="shared" si="18"/>
        <v>3.4035506402793951E-2</v>
      </c>
      <c r="P47" s="24">
        <f t="shared" si="42"/>
        <v>2.4139952523480238E-2</v>
      </c>
    </row>
    <row r="48" spans="1:16" x14ac:dyDescent="0.2">
      <c r="A48" s="22" t="s">
        <v>21</v>
      </c>
      <c r="B48" s="23">
        <f t="shared" si="31"/>
        <v>77.963999999999999</v>
      </c>
      <c r="C48" s="25">
        <f t="shared" si="32"/>
        <v>1.7719090909090909E-3</v>
      </c>
      <c r="D48" s="23">
        <v>64.97</v>
      </c>
      <c r="E48" s="34">
        <f t="shared" si="33"/>
        <v>233.892</v>
      </c>
      <c r="F48" s="23">
        <f t="shared" si="34"/>
        <v>1.2474240000000001</v>
      </c>
      <c r="G48" s="23">
        <f t="shared" si="35"/>
        <v>0.93556799999999996</v>
      </c>
      <c r="H48" s="23">
        <f t="shared" si="36"/>
        <v>58.472999999999999</v>
      </c>
      <c r="I48" s="23">
        <f t="shared" si="37"/>
        <v>42.100560000000002</v>
      </c>
      <c r="J48" s="23">
        <f t="shared" si="38"/>
        <v>1358.4447360000001</v>
      </c>
      <c r="K48" s="23">
        <f t="shared" si="39"/>
        <v>3.8982000000000001</v>
      </c>
      <c r="L48" s="23">
        <f t="shared" si="40"/>
        <v>37.734575999999997</v>
      </c>
      <c r="M48" s="23">
        <f t="shared" si="41"/>
        <v>85.760400000000004</v>
      </c>
      <c r="N48" s="23">
        <f t="shared" si="29"/>
        <v>4.6615246636771301E-2</v>
      </c>
      <c r="O48" s="24">
        <f t="shared" si="18"/>
        <v>1.1345168800931317E-2</v>
      </c>
      <c r="P48" s="24">
        <f t="shared" si="42"/>
        <v>8.0466508411600798E-3</v>
      </c>
    </row>
    <row r="49" spans="1:16" x14ac:dyDescent="0.2">
      <c r="A49" s="22" t="s">
        <v>39</v>
      </c>
      <c r="B49" s="23">
        <f t="shared" si="31"/>
        <v>4.32</v>
      </c>
      <c r="C49" s="25">
        <f t="shared" si="32"/>
        <v>9.8181818181818182E-5</v>
      </c>
      <c r="D49" s="23">
        <v>3.6</v>
      </c>
      <c r="E49" s="34">
        <f t="shared" si="33"/>
        <v>12.960000000000003</v>
      </c>
      <c r="F49" s="23">
        <f t="shared" si="34"/>
        <v>6.9120000000000001E-2</v>
      </c>
      <c r="G49" s="23">
        <f t="shared" si="35"/>
        <v>5.1840000000000004E-2</v>
      </c>
      <c r="H49" s="23">
        <f t="shared" si="36"/>
        <v>3.24</v>
      </c>
      <c r="I49" s="23">
        <f t="shared" si="37"/>
        <v>2.3328000000000002</v>
      </c>
      <c r="J49" s="23">
        <f t="shared" si="38"/>
        <v>75.271680000000003</v>
      </c>
      <c r="K49" s="23">
        <f t="shared" si="39"/>
        <v>0.21600000000000003</v>
      </c>
      <c r="L49" s="23">
        <f t="shared" si="40"/>
        <v>2.0908800000000003</v>
      </c>
      <c r="M49" s="23">
        <f t="shared" si="41"/>
        <v>4.7520000000000007</v>
      </c>
      <c r="N49" s="23">
        <f t="shared" si="29"/>
        <v>2.5829596412556056E-3</v>
      </c>
      <c r="O49" s="24">
        <f t="shared" si="18"/>
        <v>6.286379511059372E-4</v>
      </c>
      <c r="P49" s="24">
        <f t="shared" si="42"/>
        <v>4.4586644648570551E-4</v>
      </c>
    </row>
    <row r="50" spans="1:16" x14ac:dyDescent="0.2">
      <c r="A50" s="22" t="s">
        <v>22</v>
      </c>
      <c r="B50" s="23">
        <f t="shared" si="31"/>
        <v>25.8</v>
      </c>
      <c r="C50" s="25">
        <f t="shared" si="32"/>
        <v>5.8636363636363638E-4</v>
      </c>
      <c r="D50" s="23">
        <v>21.5</v>
      </c>
      <c r="E50" s="34">
        <f t="shared" si="33"/>
        <v>77.400000000000006</v>
      </c>
      <c r="F50" s="23">
        <f t="shared" si="34"/>
        <v>0.4128</v>
      </c>
      <c r="G50" s="23">
        <f t="shared" si="35"/>
        <v>0.30960000000000004</v>
      </c>
      <c r="H50" s="23">
        <f t="shared" si="36"/>
        <v>19.350000000000001</v>
      </c>
      <c r="I50" s="23">
        <f t="shared" si="37"/>
        <v>13.932000000000002</v>
      </c>
      <c r="J50" s="23">
        <f t="shared" si="38"/>
        <v>449.53920000000005</v>
      </c>
      <c r="K50" s="23">
        <f t="shared" si="39"/>
        <v>1.29</v>
      </c>
      <c r="L50" s="23">
        <f t="shared" si="40"/>
        <v>12.4872</v>
      </c>
      <c r="M50" s="23">
        <f t="shared" si="41"/>
        <v>28.380000000000003</v>
      </c>
      <c r="N50" s="23">
        <f t="shared" si="29"/>
        <v>1.5426008968609867E-2</v>
      </c>
      <c r="O50" s="24">
        <f t="shared" si="18"/>
        <v>3.754365541327125E-3</v>
      </c>
      <c r="P50" s="24">
        <f t="shared" si="42"/>
        <v>2.6628134998451856E-3</v>
      </c>
    </row>
    <row r="51" spans="1:16" x14ac:dyDescent="0.2">
      <c r="A51" s="22" t="s">
        <v>23</v>
      </c>
      <c r="B51" s="23">
        <f t="shared" si="31"/>
        <v>216.91799999999998</v>
      </c>
      <c r="C51" s="25">
        <f t="shared" si="32"/>
        <v>4.9299545454545447E-3</v>
      </c>
      <c r="D51" s="23">
        <v>180.76499999999999</v>
      </c>
      <c r="E51" s="34">
        <f t="shared" si="33"/>
        <v>650.75400000000002</v>
      </c>
      <c r="F51" s="23">
        <f t="shared" si="34"/>
        <v>3.4706879999999996</v>
      </c>
      <c r="G51" s="23">
        <f t="shared" si="35"/>
        <v>2.6030159999999998</v>
      </c>
      <c r="H51" s="23">
        <f t="shared" si="36"/>
        <v>162.68849999999998</v>
      </c>
      <c r="I51" s="23">
        <f t="shared" si="37"/>
        <v>117.13571999999999</v>
      </c>
      <c r="J51" s="23">
        <f t="shared" si="38"/>
        <v>3779.5792319999996</v>
      </c>
      <c r="K51" s="23">
        <f t="shared" si="39"/>
        <v>10.8459</v>
      </c>
      <c r="L51" s="23">
        <f t="shared" si="40"/>
        <v>104.98831199999998</v>
      </c>
      <c r="M51" s="23">
        <f t="shared" si="41"/>
        <v>238.60980000000001</v>
      </c>
      <c r="N51" s="23">
        <f t="shared" si="29"/>
        <v>0.12969686098654709</v>
      </c>
      <c r="O51" s="24">
        <f t="shared" si="18"/>
        <v>3.1565483119906868E-2</v>
      </c>
      <c r="P51" s="24">
        <f t="shared" si="42"/>
        <v>2.2388068944163484E-2</v>
      </c>
    </row>
    <row r="52" spans="1:16" x14ac:dyDescent="0.2">
      <c r="A52" s="22" t="s">
        <v>24</v>
      </c>
      <c r="B52" s="23">
        <f t="shared" si="31"/>
        <v>63.072000000000003</v>
      </c>
      <c r="C52" s="25">
        <f t="shared" si="32"/>
        <v>1.4334545454545455E-3</v>
      </c>
      <c r="D52" s="23">
        <v>52.56</v>
      </c>
      <c r="E52" s="34">
        <f t="shared" si="33"/>
        <v>189.21600000000001</v>
      </c>
      <c r="F52" s="23">
        <f t="shared" si="34"/>
        <v>1.009152</v>
      </c>
      <c r="G52" s="23">
        <f t="shared" si="35"/>
        <v>0.75686400000000009</v>
      </c>
      <c r="H52" s="23">
        <f t="shared" si="36"/>
        <v>47.304000000000002</v>
      </c>
      <c r="I52" s="23">
        <f t="shared" si="37"/>
        <v>34.058880000000002</v>
      </c>
      <c r="J52" s="23">
        <f t="shared" si="38"/>
        <v>1098.9665280000002</v>
      </c>
      <c r="K52" s="23">
        <f t="shared" si="39"/>
        <v>3.1536000000000004</v>
      </c>
      <c r="L52" s="23">
        <f t="shared" si="40"/>
        <v>30.526848000000001</v>
      </c>
      <c r="M52" s="23">
        <f t="shared" si="41"/>
        <v>69.379200000000012</v>
      </c>
      <c r="N52" s="23">
        <f t="shared" si="29"/>
        <v>3.7711210762331845E-2</v>
      </c>
      <c r="O52" s="24">
        <f t="shared" si="18"/>
        <v>9.1781140861466846E-3</v>
      </c>
      <c r="P52" s="24">
        <f t="shared" si="42"/>
        <v>6.5096501186913003E-3</v>
      </c>
    </row>
    <row r="53" spans="1:16" x14ac:dyDescent="0.2">
      <c r="A53" s="22" t="s">
        <v>25</v>
      </c>
      <c r="B53" s="23">
        <f t="shared" si="31"/>
        <v>394.2</v>
      </c>
      <c r="C53" s="25">
        <f t="shared" si="32"/>
        <v>8.9590909090909096E-3</v>
      </c>
      <c r="D53" s="23">
        <v>328.5</v>
      </c>
      <c r="E53" s="34">
        <f t="shared" si="33"/>
        <v>1182.6000000000001</v>
      </c>
      <c r="F53" s="23">
        <f t="shared" si="34"/>
        <v>6.3071999999999999</v>
      </c>
      <c r="G53" s="23">
        <f t="shared" si="35"/>
        <v>4.7304000000000004</v>
      </c>
      <c r="H53" s="23">
        <f t="shared" si="36"/>
        <v>295.64999999999998</v>
      </c>
      <c r="I53" s="23">
        <f t="shared" si="37"/>
        <v>212.86799999999999</v>
      </c>
      <c r="J53" s="23">
        <f t="shared" si="38"/>
        <v>6868.5408000000007</v>
      </c>
      <c r="K53" s="23">
        <f t="shared" si="39"/>
        <v>19.71</v>
      </c>
      <c r="L53" s="23">
        <f t="shared" si="40"/>
        <v>190.7928</v>
      </c>
      <c r="M53" s="23">
        <f t="shared" si="41"/>
        <v>433.62</v>
      </c>
      <c r="N53" s="23">
        <f t="shared" si="29"/>
        <v>0.23569506726457398</v>
      </c>
      <c r="O53" s="24">
        <f t="shared" si="18"/>
        <v>5.7363213038416766E-2</v>
      </c>
      <c r="P53" s="24">
        <f t="shared" si="42"/>
        <v>4.068531324182062E-2</v>
      </c>
    </row>
    <row r="54" spans="1:16" x14ac:dyDescent="0.2">
      <c r="A54" s="22" t="s">
        <v>27</v>
      </c>
      <c r="B54" s="23">
        <f t="shared" si="31"/>
        <v>394.2</v>
      </c>
      <c r="C54" s="25">
        <f t="shared" si="32"/>
        <v>8.9590909090909096E-3</v>
      </c>
      <c r="D54" s="23">
        <v>328.5</v>
      </c>
      <c r="E54" s="34">
        <f t="shared" si="33"/>
        <v>1182.6000000000001</v>
      </c>
      <c r="F54" s="23">
        <f t="shared" si="34"/>
        <v>6.3071999999999999</v>
      </c>
      <c r="G54" s="23">
        <f t="shared" si="35"/>
        <v>4.7304000000000004</v>
      </c>
      <c r="H54" s="23">
        <f t="shared" si="36"/>
        <v>295.64999999999998</v>
      </c>
      <c r="I54" s="23">
        <f t="shared" si="37"/>
        <v>212.86799999999999</v>
      </c>
      <c r="J54" s="23">
        <f t="shared" si="38"/>
        <v>6868.5408000000007</v>
      </c>
      <c r="K54" s="23">
        <f t="shared" si="39"/>
        <v>19.71</v>
      </c>
      <c r="L54" s="23">
        <f t="shared" si="40"/>
        <v>190.7928</v>
      </c>
      <c r="M54" s="23">
        <f t="shared" si="41"/>
        <v>433.62</v>
      </c>
      <c r="N54" s="23">
        <f t="shared" si="29"/>
        <v>0.23569506726457398</v>
      </c>
      <c r="O54" s="24">
        <f t="shared" si="18"/>
        <v>5.7363213038416766E-2</v>
      </c>
      <c r="P54" s="24">
        <f t="shared" si="42"/>
        <v>4.068531324182062E-2</v>
      </c>
    </row>
    <row r="55" spans="1:16" x14ac:dyDescent="0.2">
      <c r="A55" s="22" t="s">
        <v>26</v>
      </c>
      <c r="B55" s="23">
        <f t="shared" si="31"/>
        <v>788.4</v>
      </c>
      <c r="C55" s="25">
        <f t="shared" si="32"/>
        <v>1.7918181818181819E-2</v>
      </c>
      <c r="D55" s="23">
        <v>657</v>
      </c>
      <c r="E55" s="34">
        <f t="shared" si="33"/>
        <v>2365.2000000000003</v>
      </c>
      <c r="F55" s="23">
        <f t="shared" si="34"/>
        <v>12.6144</v>
      </c>
      <c r="G55" s="23">
        <f t="shared" si="35"/>
        <v>9.4608000000000008</v>
      </c>
      <c r="H55" s="23">
        <f t="shared" si="36"/>
        <v>591.29999999999995</v>
      </c>
      <c r="I55" s="23">
        <f t="shared" si="37"/>
        <v>425.73599999999999</v>
      </c>
      <c r="J55" s="23">
        <f t="shared" si="38"/>
        <v>13737.081600000001</v>
      </c>
      <c r="K55" s="23">
        <f t="shared" si="39"/>
        <v>39.42</v>
      </c>
      <c r="L55" s="23">
        <f t="shared" si="40"/>
        <v>381.5856</v>
      </c>
      <c r="M55" s="23">
        <f t="shared" si="41"/>
        <v>867.24</v>
      </c>
      <c r="N55" s="23">
        <f t="shared" si="29"/>
        <v>0.47139013452914796</v>
      </c>
      <c r="O55" s="24">
        <f t="shared" si="18"/>
        <v>0.11472642607683353</v>
      </c>
      <c r="P55" s="24">
        <f t="shared" si="42"/>
        <v>8.137062648364124E-2</v>
      </c>
    </row>
    <row r="56" spans="1:16" x14ac:dyDescent="0.2">
      <c r="A56" s="22" t="s">
        <v>55</v>
      </c>
      <c r="B56" s="23">
        <f t="shared" si="31"/>
        <v>95.712000000000003</v>
      </c>
      <c r="C56" s="25">
        <f t="shared" si="32"/>
        <v>2.1752727272727275E-3</v>
      </c>
      <c r="D56" s="23">
        <v>79.760000000000005</v>
      </c>
      <c r="E56" s="34">
        <f t="shared" si="33"/>
        <v>287.13600000000002</v>
      </c>
      <c r="F56" s="23">
        <f t="shared" si="34"/>
        <v>1.5313920000000001</v>
      </c>
      <c r="G56" s="23">
        <f t="shared" si="35"/>
        <v>1.148544</v>
      </c>
      <c r="H56" s="23">
        <f t="shared" si="36"/>
        <v>71.784000000000006</v>
      </c>
      <c r="I56" s="23">
        <f t="shared" si="37"/>
        <v>51.684480000000008</v>
      </c>
      <c r="J56" s="23">
        <f t="shared" si="38"/>
        <v>1667.685888</v>
      </c>
      <c r="K56" s="23">
        <f t="shared" si="39"/>
        <v>4.7856000000000005</v>
      </c>
      <c r="L56" s="23">
        <f t="shared" si="40"/>
        <v>46.324607999999998</v>
      </c>
      <c r="M56" s="23">
        <f t="shared" si="41"/>
        <v>105.28320000000001</v>
      </c>
      <c r="N56" s="23">
        <f t="shared" si="29"/>
        <v>5.7226905829596414E-2</v>
      </c>
      <c r="O56" s="24">
        <f t="shared" si="18"/>
        <v>1.3927823050058208E-2</v>
      </c>
      <c r="P56" s="24">
        <f t="shared" si="42"/>
        <v>9.8784188254721853E-3</v>
      </c>
    </row>
    <row r="57" spans="1:16" x14ac:dyDescent="0.2">
      <c r="A57" s="22" t="s">
        <v>56</v>
      </c>
      <c r="B57" s="23">
        <f t="shared" si="31"/>
        <v>1222.02</v>
      </c>
      <c r="C57" s="25">
        <f t="shared" si="32"/>
        <v>2.7773181818181818E-2</v>
      </c>
      <c r="D57" s="23">
        <v>1018.35</v>
      </c>
      <c r="E57" s="34">
        <f t="shared" si="33"/>
        <v>3666.06</v>
      </c>
      <c r="F57" s="23">
        <f t="shared" si="34"/>
        <v>19.552320000000002</v>
      </c>
      <c r="G57" s="23">
        <f t="shared" si="35"/>
        <v>14.664239999999999</v>
      </c>
      <c r="H57" s="23">
        <f t="shared" si="36"/>
        <v>916.51499999999999</v>
      </c>
      <c r="I57" s="23">
        <f t="shared" si="37"/>
        <v>659.89080000000001</v>
      </c>
      <c r="J57" s="23">
        <f t="shared" si="38"/>
        <v>21292.476480000001</v>
      </c>
      <c r="K57" s="23">
        <f t="shared" si="39"/>
        <v>61.100999999999999</v>
      </c>
      <c r="L57" s="23">
        <f t="shared" si="40"/>
        <v>591.45767999999998</v>
      </c>
      <c r="M57" s="23">
        <f t="shared" si="41"/>
        <v>1344.222</v>
      </c>
      <c r="N57" s="23">
        <f t="shared" si="29"/>
        <v>0.73065470852017933</v>
      </c>
      <c r="O57" s="24">
        <f t="shared" si="18"/>
        <v>0.17782596041909196</v>
      </c>
      <c r="P57" s="24">
        <f t="shared" si="42"/>
        <v>0.12612447104964392</v>
      </c>
    </row>
    <row r="58" spans="1:16" x14ac:dyDescent="0.2">
      <c r="A58" s="22" t="s">
        <v>28</v>
      </c>
      <c r="B58" s="23">
        <f t="shared" si="31"/>
        <v>144.54</v>
      </c>
      <c r="C58" s="25">
        <f t="shared" si="32"/>
        <v>3.2849999999999997E-3</v>
      </c>
      <c r="D58" s="23">
        <v>120.45</v>
      </c>
      <c r="E58" s="34">
        <f t="shared" si="33"/>
        <v>433.62</v>
      </c>
      <c r="F58" s="23">
        <f t="shared" si="34"/>
        <v>2.31264</v>
      </c>
      <c r="G58" s="23">
        <f t="shared" si="35"/>
        <v>1.73448</v>
      </c>
      <c r="H58" s="23">
        <f t="shared" si="36"/>
        <v>108.405</v>
      </c>
      <c r="I58" s="23">
        <f t="shared" si="37"/>
        <v>78.051600000000008</v>
      </c>
      <c r="J58" s="23">
        <f t="shared" si="38"/>
        <v>2518.4649599999998</v>
      </c>
      <c r="K58" s="23">
        <f t="shared" si="39"/>
        <v>7.2270000000000003</v>
      </c>
      <c r="L58" s="23">
        <f t="shared" si="40"/>
        <v>69.957359999999994</v>
      </c>
      <c r="M58" s="23">
        <f t="shared" si="41"/>
        <v>158.994</v>
      </c>
      <c r="N58" s="23">
        <f t="shared" si="29"/>
        <v>8.6421524663677127E-2</v>
      </c>
      <c r="O58" s="24">
        <f t="shared" si="18"/>
        <v>2.1033178114086146E-2</v>
      </c>
      <c r="P58" s="24">
        <f t="shared" si="42"/>
        <v>1.4917948188667561E-2</v>
      </c>
    </row>
    <row r="59" spans="1:16" x14ac:dyDescent="0.2">
      <c r="A59" s="22" t="s">
        <v>29</v>
      </c>
      <c r="B59" s="23">
        <f t="shared" si="31"/>
        <v>788.4</v>
      </c>
      <c r="C59" s="25">
        <f t="shared" si="32"/>
        <v>1.7918181818181819E-2</v>
      </c>
      <c r="D59" s="23">
        <v>657</v>
      </c>
      <c r="E59" s="34">
        <f t="shared" si="33"/>
        <v>2365.2000000000003</v>
      </c>
      <c r="F59" s="23">
        <f t="shared" si="34"/>
        <v>12.6144</v>
      </c>
      <c r="G59" s="23">
        <f t="shared" si="35"/>
        <v>9.4608000000000008</v>
      </c>
      <c r="H59" s="23">
        <f t="shared" si="36"/>
        <v>591.29999999999995</v>
      </c>
      <c r="I59" s="23">
        <f t="shared" si="37"/>
        <v>425.73599999999999</v>
      </c>
      <c r="J59" s="23">
        <f t="shared" si="38"/>
        <v>13737.081600000001</v>
      </c>
      <c r="K59" s="23">
        <f t="shared" si="39"/>
        <v>39.42</v>
      </c>
      <c r="L59" s="23">
        <f t="shared" si="40"/>
        <v>381.5856</v>
      </c>
      <c r="M59" s="23">
        <f t="shared" si="41"/>
        <v>867.24</v>
      </c>
      <c r="N59" s="23">
        <f t="shared" si="29"/>
        <v>0.47139013452914796</v>
      </c>
      <c r="O59" s="24">
        <f t="shared" si="18"/>
        <v>0.11472642607683353</v>
      </c>
      <c r="P59" s="24">
        <f t="shared" si="42"/>
        <v>8.137062648364124E-2</v>
      </c>
    </row>
    <row r="60" spans="1:16" x14ac:dyDescent="0.2">
      <c r="A60" s="22" t="s">
        <v>42</v>
      </c>
      <c r="B60" s="23">
        <f t="shared" si="31"/>
        <v>2592</v>
      </c>
      <c r="C60" s="25">
        <f t="shared" si="32"/>
        <v>5.8909090909090911E-2</v>
      </c>
      <c r="D60" s="23">
        <f>180*12</f>
        <v>2160</v>
      </c>
      <c r="E60" s="34">
        <f t="shared" si="33"/>
        <v>7776</v>
      </c>
      <c r="F60" s="23">
        <f t="shared" si="34"/>
        <v>41.472000000000001</v>
      </c>
      <c r="G60" s="23">
        <f t="shared" si="35"/>
        <v>31.103999999999999</v>
      </c>
      <c r="H60" s="23">
        <f t="shared" si="36"/>
        <v>1944</v>
      </c>
      <c r="I60" s="23">
        <f t="shared" si="37"/>
        <v>1399.68</v>
      </c>
      <c r="J60" s="23">
        <f t="shared" si="38"/>
        <v>45163.007999999994</v>
      </c>
      <c r="K60" s="23">
        <f t="shared" si="39"/>
        <v>129.6</v>
      </c>
      <c r="L60" s="23">
        <f t="shared" si="40"/>
        <v>1254.528</v>
      </c>
      <c r="M60" s="23">
        <f t="shared" si="41"/>
        <v>2851.2000000000003</v>
      </c>
      <c r="N60" s="23">
        <f t="shared" si="29"/>
        <v>1.5497757847533633</v>
      </c>
      <c r="O60" s="24">
        <f t="shared" si="18"/>
        <v>0.37718277066356232</v>
      </c>
      <c r="P60" s="24">
        <f t="shared" si="42"/>
        <v>0.26751986789142329</v>
      </c>
    </row>
    <row r="61" spans="1:16" x14ac:dyDescent="0.2">
      <c r="A61" s="22" t="s">
        <v>41</v>
      </c>
      <c r="B61" s="23">
        <f t="shared" si="31"/>
        <v>1368</v>
      </c>
      <c r="C61" s="25">
        <f t="shared" si="32"/>
        <v>3.1090909090909089E-2</v>
      </c>
      <c r="D61" s="23">
        <v>1140</v>
      </c>
      <c r="E61" s="34">
        <f t="shared" si="33"/>
        <v>4104</v>
      </c>
      <c r="F61" s="23">
        <f t="shared" si="34"/>
        <v>21.888000000000002</v>
      </c>
      <c r="G61" s="23">
        <f t="shared" si="35"/>
        <v>16.416</v>
      </c>
      <c r="H61" s="23">
        <f t="shared" si="36"/>
        <v>1026</v>
      </c>
      <c r="I61" s="23">
        <f t="shared" si="37"/>
        <v>738.72</v>
      </c>
      <c r="J61" s="23">
        <f t="shared" si="38"/>
        <v>23836.031999999999</v>
      </c>
      <c r="K61" s="23">
        <f t="shared" si="39"/>
        <v>68.400000000000006</v>
      </c>
      <c r="L61" s="23">
        <f t="shared" si="40"/>
        <v>662.11199999999997</v>
      </c>
      <c r="M61" s="23">
        <f t="shared" si="41"/>
        <v>1504.8000000000002</v>
      </c>
      <c r="N61" s="23">
        <f t="shared" si="29"/>
        <v>0.8179372197309418</v>
      </c>
      <c r="O61" s="24">
        <f t="shared" si="18"/>
        <v>0.19906868451688012</v>
      </c>
      <c r="P61" s="24">
        <f t="shared" si="42"/>
        <v>0.14119104138714009</v>
      </c>
    </row>
    <row r="62" spans="1:16" x14ac:dyDescent="0.2">
      <c r="A62" s="22" t="s">
        <v>40</v>
      </c>
      <c r="B62" s="23">
        <f t="shared" si="31"/>
        <v>1440</v>
      </c>
      <c r="C62" s="25">
        <f t="shared" si="32"/>
        <v>3.272727272727273E-2</v>
      </c>
      <c r="D62" s="23">
        <v>1200</v>
      </c>
      <c r="E62" s="34">
        <f t="shared" si="33"/>
        <v>4320</v>
      </c>
      <c r="F62" s="23">
        <f t="shared" si="34"/>
        <v>23.04</v>
      </c>
      <c r="G62" s="23">
        <f t="shared" si="35"/>
        <v>17.28</v>
      </c>
      <c r="H62" s="23">
        <f t="shared" si="36"/>
        <v>1080</v>
      </c>
      <c r="I62" s="23">
        <f t="shared" si="37"/>
        <v>777.6</v>
      </c>
      <c r="J62" s="23">
        <f t="shared" si="38"/>
        <v>25090.560000000001</v>
      </c>
      <c r="K62" s="23">
        <f t="shared" si="39"/>
        <v>72</v>
      </c>
      <c r="L62" s="23">
        <f t="shared" si="40"/>
        <v>696.96</v>
      </c>
      <c r="M62" s="23">
        <f t="shared" si="41"/>
        <v>1584.0000000000002</v>
      </c>
      <c r="N62" s="23">
        <f t="shared" si="29"/>
        <v>0.86098654708520195</v>
      </c>
      <c r="O62" s="24">
        <f t="shared" si="18"/>
        <v>0.20954598370197908</v>
      </c>
      <c r="P62" s="24">
        <f t="shared" si="42"/>
        <v>0.1486221488285685</v>
      </c>
    </row>
    <row r="63" spans="1:16" x14ac:dyDescent="0.2">
      <c r="A63" s="22" t="s">
        <v>30</v>
      </c>
      <c r="B63" s="23">
        <f t="shared" si="31"/>
        <v>45.6</v>
      </c>
      <c r="C63" s="25">
        <f t="shared" si="32"/>
        <v>1.0363636363636365E-3</v>
      </c>
      <c r="D63" s="23">
        <v>38</v>
      </c>
      <c r="E63" s="34">
        <f t="shared" si="33"/>
        <v>136.80000000000001</v>
      </c>
      <c r="F63" s="23">
        <f t="shared" si="34"/>
        <v>0.72960000000000003</v>
      </c>
      <c r="G63" s="23">
        <f t="shared" si="35"/>
        <v>0.54720000000000002</v>
      </c>
      <c r="H63" s="23">
        <f t="shared" si="36"/>
        <v>34.200000000000003</v>
      </c>
      <c r="I63" s="23">
        <f t="shared" si="37"/>
        <v>24.624000000000002</v>
      </c>
      <c r="J63" s="23">
        <f t="shared" si="38"/>
        <v>794.53440000000012</v>
      </c>
      <c r="K63" s="23">
        <f t="shared" si="39"/>
        <v>2.2800000000000002</v>
      </c>
      <c r="L63" s="23">
        <f t="shared" si="40"/>
        <v>22.070399999999999</v>
      </c>
      <c r="M63" s="23">
        <f t="shared" si="41"/>
        <v>50.160000000000004</v>
      </c>
      <c r="N63" s="23">
        <f t="shared" si="29"/>
        <v>2.7264573991031393E-2</v>
      </c>
      <c r="O63" s="24">
        <f t="shared" si="18"/>
        <v>6.635622817229337E-3</v>
      </c>
      <c r="P63" s="24">
        <f t="shared" si="42"/>
        <v>4.706368046238002E-3</v>
      </c>
    </row>
    <row r="64" spans="1:16" x14ac:dyDescent="0.2">
      <c r="A64" s="22" t="s">
        <v>31</v>
      </c>
      <c r="B64" s="23">
        <f t="shared" si="31"/>
        <v>3411.12</v>
      </c>
      <c r="C64" s="25">
        <f t="shared" si="32"/>
        <v>7.7525454545454536E-2</v>
      </c>
      <c r="D64" s="23">
        <v>2842.6</v>
      </c>
      <c r="E64" s="34">
        <f t="shared" si="33"/>
        <v>10233.36</v>
      </c>
      <c r="F64" s="23">
        <f t="shared" si="34"/>
        <v>54.577919999999999</v>
      </c>
      <c r="G64" s="23">
        <f t="shared" si="35"/>
        <v>40.933439999999997</v>
      </c>
      <c r="H64" s="23">
        <f t="shared" si="36"/>
        <v>2558.34</v>
      </c>
      <c r="I64" s="23">
        <f t="shared" si="37"/>
        <v>1842.0048000000002</v>
      </c>
      <c r="J64" s="23">
        <f t="shared" si="38"/>
        <v>59435.354880000006</v>
      </c>
      <c r="K64" s="23">
        <f t="shared" si="39"/>
        <v>170.55600000000001</v>
      </c>
      <c r="L64" s="23">
        <f t="shared" si="40"/>
        <v>1650.98208</v>
      </c>
      <c r="M64" s="23">
        <f t="shared" si="41"/>
        <v>3752.232</v>
      </c>
      <c r="N64" s="23">
        <f t="shared" si="29"/>
        <v>2.0395336322869957</v>
      </c>
      <c r="O64" s="24">
        <f t="shared" si="18"/>
        <v>0.49637951105937139</v>
      </c>
      <c r="P64" s="24">
        <f t="shared" si="42"/>
        <v>0.35206110021674064</v>
      </c>
    </row>
    <row r="65" spans="1:16" x14ac:dyDescent="0.2">
      <c r="A65" s="22" t="s">
        <v>32</v>
      </c>
      <c r="B65" s="23">
        <f t="shared" si="31"/>
        <v>33.239999999999995</v>
      </c>
      <c r="C65" s="25">
        <f t="shared" si="32"/>
        <v>7.5545454545454538E-4</v>
      </c>
      <c r="D65" s="23">
        <v>27.7</v>
      </c>
      <c r="E65" s="34">
        <f t="shared" si="33"/>
        <v>99.719999999999985</v>
      </c>
      <c r="F65" s="23">
        <f t="shared" si="34"/>
        <v>0.53183999999999998</v>
      </c>
      <c r="G65" s="23">
        <f t="shared" si="35"/>
        <v>0.39887999999999996</v>
      </c>
      <c r="H65" s="23">
        <f t="shared" si="36"/>
        <v>24.929999999999996</v>
      </c>
      <c r="I65" s="23">
        <f t="shared" si="37"/>
        <v>17.949599999999997</v>
      </c>
      <c r="J65" s="23">
        <f t="shared" si="38"/>
        <v>579.1737599999999</v>
      </c>
      <c r="K65" s="23">
        <f t="shared" si="39"/>
        <v>1.6619999999999999</v>
      </c>
      <c r="L65" s="23">
        <f t="shared" si="40"/>
        <v>16.088159999999998</v>
      </c>
      <c r="M65" s="23">
        <f t="shared" si="41"/>
        <v>36.564</v>
      </c>
      <c r="N65" s="23">
        <f t="shared" si="29"/>
        <v>1.9874439461883407E-2</v>
      </c>
      <c r="O65" s="24">
        <f t="shared" si="18"/>
        <v>4.8370197904540162E-3</v>
      </c>
      <c r="P65" s="24">
        <f t="shared" si="42"/>
        <v>3.4306946021261226E-3</v>
      </c>
    </row>
    <row r="66" spans="1:16" x14ac:dyDescent="0.2">
      <c r="A66" s="22" t="s">
        <v>33</v>
      </c>
      <c r="B66" s="23">
        <f t="shared" si="31"/>
        <v>5040</v>
      </c>
      <c r="C66" s="25">
        <f t="shared" si="32"/>
        <v>0.11454545454545455</v>
      </c>
      <c r="D66" s="23">
        <v>4200</v>
      </c>
      <c r="E66" s="34">
        <f t="shared" si="33"/>
        <v>15120</v>
      </c>
      <c r="F66" s="23">
        <f t="shared" si="34"/>
        <v>80.64</v>
      </c>
      <c r="G66" s="23">
        <f t="shared" si="35"/>
        <v>60.480000000000004</v>
      </c>
      <c r="H66" s="23">
        <f t="shared" si="36"/>
        <v>3780</v>
      </c>
      <c r="I66" s="23">
        <f t="shared" si="37"/>
        <v>2721.6000000000004</v>
      </c>
      <c r="J66" s="23">
        <f t="shared" si="38"/>
        <v>87816.960000000006</v>
      </c>
      <c r="K66" s="23">
        <f t="shared" si="39"/>
        <v>252</v>
      </c>
      <c r="L66" s="23">
        <f t="shared" si="40"/>
        <v>2439.36</v>
      </c>
      <c r="M66" s="23">
        <f t="shared" si="41"/>
        <v>5544</v>
      </c>
      <c r="N66" s="23">
        <f t="shared" si="29"/>
        <v>3.0134529147982061</v>
      </c>
      <c r="O66" s="24">
        <f t="shared" si="18"/>
        <v>0.73341094295692666</v>
      </c>
      <c r="P66" s="24">
        <f t="shared" si="42"/>
        <v>0.5201775208999897</v>
      </c>
    </row>
    <row r="67" spans="1:16" x14ac:dyDescent="0.2">
      <c r="A67" s="22" t="s">
        <v>34</v>
      </c>
      <c r="B67" s="23">
        <f t="shared" si="31"/>
        <v>72</v>
      </c>
      <c r="C67" s="25">
        <f t="shared" si="32"/>
        <v>1.6363636363636363E-3</v>
      </c>
      <c r="D67" s="23">
        <v>60</v>
      </c>
      <c r="E67" s="34">
        <f t="shared" si="33"/>
        <v>216</v>
      </c>
      <c r="F67" s="23">
        <f t="shared" si="34"/>
        <v>1.1520000000000001</v>
      </c>
      <c r="G67" s="23">
        <f t="shared" si="35"/>
        <v>0.86399999999999999</v>
      </c>
      <c r="H67" s="23">
        <f t="shared" si="36"/>
        <v>54</v>
      </c>
      <c r="I67" s="23">
        <f t="shared" si="37"/>
        <v>38.880000000000003</v>
      </c>
      <c r="J67" s="23">
        <f t="shared" si="38"/>
        <v>1254.528</v>
      </c>
      <c r="K67" s="23">
        <f t="shared" si="39"/>
        <v>3.6</v>
      </c>
      <c r="L67" s="23">
        <f t="shared" si="40"/>
        <v>34.847999999999999</v>
      </c>
      <c r="M67" s="23">
        <f t="shared" si="41"/>
        <v>79.2</v>
      </c>
      <c r="N67" s="23">
        <f t="shared" si="29"/>
        <v>4.3049327354260092E-2</v>
      </c>
      <c r="O67" s="24">
        <f t="shared" si="18"/>
        <v>1.0477299185098952E-2</v>
      </c>
      <c r="P67" s="24">
        <f t="shared" si="42"/>
        <v>7.4311074414284244E-3</v>
      </c>
    </row>
    <row r="68" spans="1:16" x14ac:dyDescent="0.2">
      <c r="A68" s="22" t="s">
        <v>132</v>
      </c>
      <c r="B68" s="23">
        <f t="shared" si="31"/>
        <v>28.799999999999997</v>
      </c>
      <c r="C68" s="25">
        <f t="shared" si="32"/>
        <v>6.5454545454545453E-4</v>
      </c>
      <c r="D68" s="23">
        <v>24</v>
      </c>
      <c r="E68" s="34">
        <f t="shared" si="33"/>
        <v>86.4</v>
      </c>
      <c r="F68" s="23">
        <f t="shared" si="34"/>
        <v>0.46079999999999999</v>
      </c>
      <c r="G68" s="23">
        <f t="shared" si="35"/>
        <v>0.34559999999999996</v>
      </c>
      <c r="H68" s="23">
        <f t="shared" si="36"/>
        <v>21.599999999999998</v>
      </c>
      <c r="I68" s="23">
        <f t="shared" si="37"/>
        <v>15.552</v>
      </c>
      <c r="J68" s="23">
        <f t="shared" si="38"/>
        <v>501.81119999999993</v>
      </c>
      <c r="K68" s="23">
        <f t="shared" si="39"/>
        <v>1.44</v>
      </c>
      <c r="L68" s="23">
        <f t="shared" si="40"/>
        <v>13.939199999999998</v>
      </c>
      <c r="M68" s="23">
        <f t="shared" si="41"/>
        <v>31.68</v>
      </c>
      <c r="N68" s="23">
        <f t="shared" si="29"/>
        <v>1.7219730941704037E-2</v>
      </c>
      <c r="O68" s="24">
        <f t="shared" si="18"/>
        <v>4.1909196740395806E-3</v>
      </c>
      <c r="P68" s="24">
        <f t="shared" si="42"/>
        <v>2.9724429765713698E-3</v>
      </c>
    </row>
    <row r="69" spans="1:16" x14ac:dyDescent="0.2">
      <c r="A69" s="22" t="s">
        <v>175</v>
      </c>
      <c r="B69" s="23">
        <f t="shared" si="31"/>
        <v>12309</v>
      </c>
      <c r="C69" s="25">
        <f t="shared" si="32"/>
        <v>0.27975</v>
      </c>
      <c r="D69" s="23">
        <v>10257.5</v>
      </c>
      <c r="E69" s="34">
        <f t="shared" si="33"/>
        <v>36927</v>
      </c>
      <c r="F69" s="23">
        <f t="shared" si="34"/>
        <v>196.94400000000002</v>
      </c>
      <c r="G69" s="23">
        <f t="shared" si="35"/>
        <v>147.708</v>
      </c>
      <c r="H69" s="23">
        <f t="shared" si="36"/>
        <v>9231.75</v>
      </c>
      <c r="I69" s="23">
        <f t="shared" si="37"/>
        <v>6646.8600000000006</v>
      </c>
      <c r="J69" s="23">
        <f t="shared" si="38"/>
        <v>214472.01600000003</v>
      </c>
      <c r="K69" s="23">
        <f t="shared" si="39"/>
        <v>615.45000000000005</v>
      </c>
      <c r="L69" s="23">
        <f t="shared" si="40"/>
        <v>5957.5559999999996</v>
      </c>
      <c r="M69" s="23">
        <f t="shared" si="41"/>
        <v>13539.900000000001</v>
      </c>
      <c r="N69" s="23">
        <f t="shared" si="29"/>
        <v>7.3596412556053821</v>
      </c>
      <c r="O69" s="24">
        <f t="shared" si="18"/>
        <v>1.7911816065192085</v>
      </c>
      <c r="P69" s="24">
        <f t="shared" si="42"/>
        <v>1.2704097430075345</v>
      </c>
    </row>
    <row r="70" spans="1:16" x14ac:dyDescent="0.2">
      <c r="A70" s="22" t="s">
        <v>176</v>
      </c>
      <c r="B70" s="23">
        <f t="shared" si="31"/>
        <v>3517.2</v>
      </c>
      <c r="C70" s="25">
        <f t="shared" si="32"/>
        <v>7.9936363636363639E-2</v>
      </c>
      <c r="D70" s="23">
        <v>2931</v>
      </c>
      <c r="E70" s="34">
        <f t="shared" si="33"/>
        <v>10551.6</v>
      </c>
      <c r="F70" s="23">
        <f t="shared" si="34"/>
        <v>56.275199999999998</v>
      </c>
      <c r="G70" s="23">
        <f t="shared" si="35"/>
        <v>42.206400000000002</v>
      </c>
      <c r="H70" s="23">
        <f t="shared" si="36"/>
        <v>2637.8999999999996</v>
      </c>
      <c r="I70" s="23">
        <f t="shared" si="37"/>
        <v>1899.288</v>
      </c>
      <c r="J70" s="23">
        <f t="shared" si="38"/>
        <v>61283.692799999997</v>
      </c>
      <c r="K70" s="23">
        <f t="shared" si="39"/>
        <v>175.86</v>
      </c>
      <c r="L70" s="23">
        <f t="shared" si="40"/>
        <v>1702.3247999999999</v>
      </c>
      <c r="M70" s="23">
        <f t="shared" si="41"/>
        <v>3868.92</v>
      </c>
      <c r="N70" s="23">
        <f t="shared" si="29"/>
        <v>2.1029596412556053</v>
      </c>
      <c r="O70" s="24">
        <f t="shared" si="18"/>
        <v>0.51181606519208389</v>
      </c>
      <c r="P70" s="24">
        <f t="shared" si="42"/>
        <v>0.36300959851377851</v>
      </c>
    </row>
    <row r="71" spans="1:16" x14ac:dyDescent="0.2">
      <c r="A71" s="22" t="s">
        <v>35</v>
      </c>
      <c r="B71" s="23">
        <f t="shared" si="31"/>
        <v>1155.5999999999999</v>
      </c>
      <c r="C71" s="25">
        <f t="shared" si="32"/>
        <v>2.6263636363636361E-2</v>
      </c>
      <c r="D71" s="23">
        <v>963</v>
      </c>
      <c r="E71" s="34">
        <f t="shared" si="33"/>
        <v>3466.8</v>
      </c>
      <c r="F71" s="23">
        <f t="shared" si="34"/>
        <v>18.489599999999999</v>
      </c>
      <c r="G71" s="23">
        <f t="shared" si="35"/>
        <v>13.867199999999999</v>
      </c>
      <c r="H71" s="23">
        <f t="shared" si="36"/>
        <v>866.69999999999993</v>
      </c>
      <c r="I71" s="23">
        <f t="shared" si="37"/>
        <v>624.024</v>
      </c>
      <c r="J71" s="23">
        <f t="shared" si="38"/>
        <v>20135.1744</v>
      </c>
      <c r="K71" s="23">
        <f t="shared" si="39"/>
        <v>57.78</v>
      </c>
      <c r="L71" s="23">
        <f t="shared" si="40"/>
        <v>559.31039999999996</v>
      </c>
      <c r="M71" s="23">
        <f t="shared" si="41"/>
        <v>1271.1600000000001</v>
      </c>
      <c r="N71" s="23">
        <f t="shared" si="29"/>
        <v>0.69094170403587452</v>
      </c>
      <c r="O71" s="24">
        <f t="shared" si="18"/>
        <v>0.16816065192083821</v>
      </c>
      <c r="P71" s="24">
        <f t="shared" si="42"/>
        <v>0.11926927443492621</v>
      </c>
    </row>
    <row r="72" spans="1:16" x14ac:dyDescent="0.2">
      <c r="A72" s="22" t="s">
        <v>54</v>
      </c>
      <c r="B72" s="23">
        <f t="shared" si="31"/>
        <v>2311.1999999999998</v>
      </c>
      <c r="C72" s="25">
        <f t="shared" si="32"/>
        <v>5.2527272727272721E-2</v>
      </c>
      <c r="D72" s="23">
        <f>963*2</f>
        <v>1926</v>
      </c>
      <c r="E72" s="34">
        <f t="shared" si="33"/>
        <v>6933.6</v>
      </c>
      <c r="F72" s="23">
        <f t="shared" si="34"/>
        <v>36.979199999999999</v>
      </c>
      <c r="G72" s="23">
        <f t="shared" si="35"/>
        <v>27.734399999999997</v>
      </c>
      <c r="H72" s="23">
        <f t="shared" si="36"/>
        <v>1733.3999999999999</v>
      </c>
      <c r="I72" s="23">
        <f t="shared" si="37"/>
        <v>1248.048</v>
      </c>
      <c r="J72" s="23">
        <f t="shared" si="38"/>
        <v>40270.3488</v>
      </c>
      <c r="K72" s="23">
        <f t="shared" si="39"/>
        <v>115.56</v>
      </c>
      <c r="L72" s="23">
        <f t="shared" si="40"/>
        <v>1118.6207999999999</v>
      </c>
      <c r="M72" s="23">
        <f t="shared" si="41"/>
        <v>2542.3200000000002</v>
      </c>
      <c r="N72" s="23">
        <f t="shared" si="29"/>
        <v>1.381883408071749</v>
      </c>
      <c r="O72" s="24">
        <f t="shared" si="18"/>
        <v>0.33632130384167641</v>
      </c>
      <c r="P72" s="24">
        <f t="shared" si="42"/>
        <v>0.23853854886985243</v>
      </c>
    </row>
    <row r="73" spans="1:16" x14ac:dyDescent="0.2">
      <c r="A73" s="22" t="s">
        <v>36</v>
      </c>
      <c r="B73" s="23">
        <f t="shared" si="31"/>
        <v>3085.2</v>
      </c>
      <c r="C73" s="25">
        <f t="shared" si="32"/>
        <v>7.0118181818181816E-2</v>
      </c>
      <c r="D73" s="23">
        <v>2571</v>
      </c>
      <c r="E73" s="34">
        <f t="shared" si="33"/>
        <v>9255.6</v>
      </c>
      <c r="F73" s="23">
        <f t="shared" si="34"/>
        <v>49.363199999999999</v>
      </c>
      <c r="G73" s="23">
        <f t="shared" si="35"/>
        <v>37.022399999999998</v>
      </c>
      <c r="H73" s="23">
        <f t="shared" si="36"/>
        <v>2313.8999999999996</v>
      </c>
      <c r="I73" s="23">
        <f t="shared" si="37"/>
        <v>1666.008</v>
      </c>
      <c r="J73" s="23">
        <f t="shared" si="38"/>
        <v>53756.524799999999</v>
      </c>
      <c r="K73" s="23">
        <f t="shared" si="39"/>
        <v>154.26</v>
      </c>
      <c r="L73" s="23">
        <f t="shared" si="40"/>
        <v>1493.2367999999999</v>
      </c>
      <c r="M73" s="23">
        <f t="shared" si="41"/>
        <v>3393.7200000000003</v>
      </c>
      <c r="N73" s="23">
        <f t="shared" si="29"/>
        <v>1.8446636771300451</v>
      </c>
      <c r="O73" s="24">
        <f t="shared" si="18"/>
        <v>0.44895227008149013</v>
      </c>
      <c r="P73" s="24">
        <f t="shared" si="42"/>
        <v>0.31842295386520802</v>
      </c>
    </row>
    <row r="74" spans="1:16" x14ac:dyDescent="0.2">
      <c r="A74" s="22" t="s">
        <v>37</v>
      </c>
      <c r="B74" s="23">
        <f t="shared" si="31"/>
        <v>6170.4</v>
      </c>
      <c r="C74" s="25">
        <f t="shared" si="32"/>
        <v>0.14023636363636363</v>
      </c>
      <c r="D74" s="23">
        <f>D73*2</f>
        <v>5142</v>
      </c>
      <c r="E74" s="34">
        <f t="shared" si="33"/>
        <v>18511.2</v>
      </c>
      <c r="F74" s="23">
        <f t="shared" si="34"/>
        <v>98.726399999999998</v>
      </c>
      <c r="G74" s="23">
        <f t="shared" si="35"/>
        <v>74.044799999999995</v>
      </c>
      <c r="H74" s="23">
        <f t="shared" si="36"/>
        <v>4627.7999999999993</v>
      </c>
      <c r="I74" s="23">
        <f t="shared" si="37"/>
        <v>3332.0160000000001</v>
      </c>
      <c r="J74" s="23">
        <f t="shared" si="38"/>
        <v>107513.0496</v>
      </c>
      <c r="K74" s="23">
        <f t="shared" si="39"/>
        <v>308.52</v>
      </c>
      <c r="L74" s="23">
        <f t="shared" si="40"/>
        <v>2986.4735999999998</v>
      </c>
      <c r="M74" s="23">
        <f t="shared" si="41"/>
        <v>6787.4400000000005</v>
      </c>
      <c r="N74" s="23">
        <f t="shared" si="29"/>
        <v>3.6893273542600902</v>
      </c>
      <c r="O74" s="24">
        <f t="shared" si="18"/>
        <v>0.89790454016298027</v>
      </c>
      <c r="P74" s="24">
        <f t="shared" si="42"/>
        <v>0.63684590773041605</v>
      </c>
    </row>
    <row r="75" spans="1:16" x14ac:dyDescent="0.2">
      <c r="A75" s="22" t="s">
        <v>19</v>
      </c>
      <c r="B75" s="23">
        <f t="shared" si="31"/>
        <v>90.719999999999985</v>
      </c>
      <c r="C75" s="25">
        <f t="shared" si="32"/>
        <v>2.0618181818181816E-3</v>
      </c>
      <c r="D75" s="23">
        <v>75.599999999999994</v>
      </c>
      <c r="E75" s="34">
        <f t="shared" si="33"/>
        <v>272.15999999999997</v>
      </c>
      <c r="F75" s="23">
        <f t="shared" si="34"/>
        <v>1.4515199999999997</v>
      </c>
      <c r="G75" s="23">
        <f t="shared" si="35"/>
        <v>1.0886399999999998</v>
      </c>
      <c r="H75" s="23">
        <f t="shared" si="36"/>
        <v>68.039999999999992</v>
      </c>
      <c r="I75" s="23">
        <f t="shared" si="37"/>
        <v>48.988799999999998</v>
      </c>
      <c r="J75" s="23">
        <f t="shared" si="38"/>
        <v>1580.7052799999997</v>
      </c>
      <c r="K75" s="23">
        <f t="shared" si="39"/>
        <v>4.5359999999999996</v>
      </c>
      <c r="L75" s="23">
        <f t="shared" si="40"/>
        <v>43.90847999999999</v>
      </c>
      <c r="M75" s="23">
        <f t="shared" si="41"/>
        <v>99.791999999999987</v>
      </c>
      <c r="N75" s="23">
        <f t="shared" si="29"/>
        <v>5.4242152466367703E-2</v>
      </c>
      <c r="O75" s="24">
        <f t="shared" si="18"/>
        <v>1.3201396973224679E-2</v>
      </c>
      <c r="P75" s="24">
        <f t="shared" si="42"/>
        <v>9.3631953761998139E-3</v>
      </c>
    </row>
    <row r="76" spans="1:16" x14ac:dyDescent="0.2">
      <c r="A76" s="22" t="s">
        <v>38</v>
      </c>
      <c r="B76" s="23">
        <f t="shared" si="31"/>
        <v>181.43999999999997</v>
      </c>
      <c r="C76" s="25">
        <f t="shared" si="32"/>
        <v>4.1236363636363632E-3</v>
      </c>
      <c r="D76" s="23">
        <f>D75*2</f>
        <v>151.19999999999999</v>
      </c>
      <c r="E76" s="34">
        <f t="shared" si="33"/>
        <v>544.31999999999994</v>
      </c>
      <c r="F76" s="23">
        <f t="shared" si="34"/>
        <v>2.9030399999999994</v>
      </c>
      <c r="G76" s="23">
        <f t="shared" si="35"/>
        <v>2.1772799999999997</v>
      </c>
      <c r="H76" s="23">
        <f t="shared" si="36"/>
        <v>136.07999999999998</v>
      </c>
      <c r="I76" s="23">
        <f t="shared" si="37"/>
        <v>97.977599999999995</v>
      </c>
      <c r="J76" s="23">
        <f t="shared" si="38"/>
        <v>3161.4105599999994</v>
      </c>
      <c r="K76" s="23">
        <f t="shared" si="39"/>
        <v>9.0719999999999992</v>
      </c>
      <c r="L76" s="23">
        <f t="shared" si="40"/>
        <v>87.81695999999998</v>
      </c>
      <c r="M76" s="23">
        <f t="shared" si="41"/>
        <v>199.58399999999997</v>
      </c>
      <c r="N76" s="23">
        <f t="shared" si="29"/>
        <v>0.10848430493273541</v>
      </c>
      <c r="O76" s="24">
        <f t="shared" si="18"/>
        <v>2.6402793946449357E-2</v>
      </c>
      <c r="P76" s="24">
        <f t="shared" si="42"/>
        <v>1.8726390752399628E-2</v>
      </c>
    </row>
    <row r="77" spans="1:16" x14ac:dyDescent="0.2">
      <c r="A77" s="22" t="s">
        <v>45</v>
      </c>
      <c r="B77" s="23">
        <v>3334.2750000000001</v>
      </c>
      <c r="C77" s="25">
        <f t="shared" si="32"/>
        <v>7.5778977272727269E-2</v>
      </c>
      <c r="D77" s="23"/>
      <c r="E77" s="34">
        <f t="shared" si="33"/>
        <v>10002.825000000001</v>
      </c>
      <c r="F77" s="23">
        <f t="shared" si="34"/>
        <v>53.348400000000005</v>
      </c>
      <c r="G77" s="23">
        <f t="shared" si="35"/>
        <v>40.011299999999999</v>
      </c>
      <c r="H77" s="23">
        <f t="shared" si="36"/>
        <v>2500.7062500000002</v>
      </c>
      <c r="I77" s="23">
        <f t="shared" si="37"/>
        <v>1800.5085000000001</v>
      </c>
      <c r="J77" s="23">
        <f t="shared" si="38"/>
        <v>58096.407600000006</v>
      </c>
      <c r="K77" s="23">
        <f t="shared" si="39"/>
        <v>166.71375</v>
      </c>
      <c r="L77" s="23">
        <f t="shared" si="40"/>
        <v>1613.7891</v>
      </c>
      <c r="M77" s="23">
        <f t="shared" si="41"/>
        <v>3667.7025000000003</v>
      </c>
      <c r="N77" s="23">
        <f t="shared" si="29"/>
        <v>1.9935874439461885</v>
      </c>
      <c r="O77" s="24">
        <f t="shared" si="18"/>
        <v>0.48519717694994186</v>
      </c>
      <c r="P77" s="24">
        <f t="shared" si="42"/>
        <v>0.34412994117039947</v>
      </c>
    </row>
    <row r="78" spans="1:16" x14ac:dyDescent="0.2">
      <c r="A78" s="22"/>
      <c r="B78" s="23"/>
      <c r="C78" s="25"/>
      <c r="D78" s="23"/>
      <c r="E78" s="34"/>
      <c r="F78" s="23"/>
      <c r="G78" s="23"/>
      <c r="H78" s="23"/>
      <c r="I78" s="23"/>
      <c r="J78" s="23"/>
      <c r="K78" s="23"/>
      <c r="L78" s="23"/>
      <c r="M78" s="23"/>
      <c r="N78" s="23"/>
      <c r="O78" s="24"/>
      <c r="P78" s="24"/>
    </row>
    <row r="79" spans="1:16" x14ac:dyDescent="0.2">
      <c r="A79" s="26" t="s">
        <v>57</v>
      </c>
      <c r="B79" s="23"/>
      <c r="C79" s="25"/>
      <c r="D79" s="23"/>
      <c r="E79" s="34"/>
      <c r="F79" s="23"/>
      <c r="G79" s="23"/>
      <c r="H79" s="23"/>
      <c r="I79" s="23"/>
      <c r="J79" s="23"/>
      <c r="K79" s="23"/>
      <c r="L79" s="23"/>
      <c r="M79" s="23"/>
      <c r="N79" s="23"/>
      <c r="O79" s="24"/>
      <c r="P79" s="24"/>
    </row>
    <row r="80" spans="1:16" x14ac:dyDescent="0.2">
      <c r="A80" s="56" t="s">
        <v>257</v>
      </c>
      <c r="B80" s="23">
        <f>-850/2.6</f>
        <v>-326.92307692307691</v>
      </c>
      <c r="C80" s="25">
        <f t="shared" ref="C80:C109" si="43">B80/44000</f>
        <v>-7.43006993006993E-3</v>
      </c>
      <c r="D80" s="23"/>
      <c r="E80" s="34">
        <f t="shared" ref="E80:E106" si="44">B80/1.2*3.6</f>
        <v>-980.76923076923083</v>
      </c>
      <c r="F80" s="23">
        <f t="shared" ref="F80:F106" si="45">B80*0.016</f>
        <v>-5.2307692307692308</v>
      </c>
      <c r="G80" s="23">
        <f t="shared" ref="G80:G106" si="46">B80*0.012</f>
        <v>-3.9230769230769229</v>
      </c>
      <c r="H80" s="23">
        <f t="shared" ref="H80:H106" si="47">B80*0.75</f>
        <v>-245.19230769230768</v>
      </c>
      <c r="I80" s="23">
        <f t="shared" ref="I80:I106" si="48">B80*0.54</f>
        <v>-176.53846153846155</v>
      </c>
      <c r="J80" s="23">
        <f t="shared" ref="J80:J106" si="49">B80*0.0004*43560</f>
        <v>-5696.3076923076924</v>
      </c>
      <c r="K80" s="23">
        <f t="shared" ref="K80:K106" si="50">B80*0.05</f>
        <v>-16.346153846153847</v>
      </c>
      <c r="L80" s="23">
        <f t="shared" ref="L80:L106" si="51">B80*0.484</f>
        <v>-158.23076923076923</v>
      </c>
      <c r="M80" s="23">
        <f t="shared" ref="M80:M106" si="52">B80*1.1</f>
        <v>-359.61538461538464</v>
      </c>
      <c r="N80" s="23">
        <f t="shared" si="29"/>
        <v>-0.19546970219615961</v>
      </c>
      <c r="O80" s="24">
        <f t="shared" si="18"/>
        <v>-4.7573206769947168E-2</v>
      </c>
      <c r="P80" s="24">
        <f t="shared" ref="P80:P106" si="53">M80/10657.9</f>
        <v>-3.3741673745802142E-2</v>
      </c>
    </row>
    <row r="81" spans="1:16" x14ac:dyDescent="0.2">
      <c r="A81" s="22" t="s">
        <v>65</v>
      </c>
      <c r="B81" s="23">
        <f>-1200*0.9</f>
        <v>-1080</v>
      </c>
      <c r="C81" s="25">
        <f t="shared" si="43"/>
        <v>-2.4545454545454544E-2</v>
      </c>
      <c r="D81" s="23"/>
      <c r="E81" s="34">
        <f t="shared" si="44"/>
        <v>-3240</v>
      </c>
      <c r="F81" s="23">
        <f t="shared" si="45"/>
        <v>-17.28</v>
      </c>
      <c r="G81" s="23">
        <f t="shared" si="46"/>
        <v>-12.96</v>
      </c>
      <c r="H81" s="23">
        <f t="shared" si="47"/>
        <v>-810</v>
      </c>
      <c r="I81" s="23">
        <f t="shared" si="48"/>
        <v>-583.20000000000005</v>
      </c>
      <c r="J81" s="23">
        <f t="shared" si="49"/>
        <v>-18817.919999999998</v>
      </c>
      <c r="K81" s="23">
        <f t="shared" si="50"/>
        <v>-54</v>
      </c>
      <c r="L81" s="23">
        <f t="shared" si="51"/>
        <v>-522.72</v>
      </c>
      <c r="M81" s="23">
        <f t="shared" si="52"/>
        <v>-1188</v>
      </c>
      <c r="N81" s="23">
        <f t="shared" si="29"/>
        <v>-0.64573991031390132</v>
      </c>
      <c r="O81" s="24">
        <f t="shared" si="18"/>
        <v>-0.15715948777648428</v>
      </c>
      <c r="P81" s="24">
        <f t="shared" si="53"/>
        <v>-0.11146661162142636</v>
      </c>
    </row>
    <row r="82" spans="1:16" x14ac:dyDescent="0.2">
      <c r="A82" s="22" t="s">
        <v>63</v>
      </c>
      <c r="B82" s="23">
        <f>-1829.84*0.9</f>
        <v>-1646.856</v>
      </c>
      <c r="C82" s="25">
        <f t="shared" si="43"/>
        <v>-3.7428545454545457E-2</v>
      </c>
      <c r="D82" s="23"/>
      <c r="E82" s="34">
        <f t="shared" si="44"/>
        <v>-4940.5680000000002</v>
      </c>
      <c r="F82" s="23">
        <f t="shared" si="45"/>
        <v>-26.349696000000002</v>
      </c>
      <c r="G82" s="23">
        <f t="shared" si="46"/>
        <v>-19.762271999999999</v>
      </c>
      <c r="H82" s="23">
        <f t="shared" si="47"/>
        <v>-1235.1420000000001</v>
      </c>
      <c r="I82" s="23">
        <f t="shared" si="48"/>
        <v>-889.3022400000001</v>
      </c>
      <c r="J82" s="23">
        <f t="shared" si="49"/>
        <v>-28694.818944000002</v>
      </c>
      <c r="K82" s="23">
        <f t="shared" si="50"/>
        <v>-82.342800000000011</v>
      </c>
      <c r="L82" s="23">
        <f t="shared" si="51"/>
        <v>-797.078304</v>
      </c>
      <c r="M82" s="23">
        <f t="shared" si="52"/>
        <v>-1811.5416000000002</v>
      </c>
      <c r="N82" s="23">
        <f t="shared" si="29"/>
        <v>-0.98466726457399112</v>
      </c>
      <c r="O82" s="24">
        <f t="shared" si="18"/>
        <v>-0.23964726426076838</v>
      </c>
      <c r="P82" s="24">
        <f t="shared" si="53"/>
        <v>-0.16997172050779238</v>
      </c>
    </row>
    <row r="83" spans="1:16" x14ac:dyDescent="0.2">
      <c r="A83" s="22" t="s">
        <v>182</v>
      </c>
      <c r="B83" s="23">
        <f>0.9*B84/7</f>
        <v>-245.41333714285716</v>
      </c>
      <c r="C83" s="25">
        <f t="shared" si="43"/>
        <v>-5.5775758441558446E-3</v>
      </c>
      <c r="D83" s="23"/>
      <c r="E83" s="34">
        <f t="shared" si="44"/>
        <v>-736.24001142857151</v>
      </c>
      <c r="F83" s="23">
        <f t="shared" si="45"/>
        <v>-3.9266133942857144</v>
      </c>
      <c r="G83" s="23">
        <f t="shared" si="46"/>
        <v>-2.9449600457142862</v>
      </c>
      <c r="H83" s="23">
        <f t="shared" si="47"/>
        <v>-184.06000285714288</v>
      </c>
      <c r="I83" s="23">
        <f t="shared" si="48"/>
        <v>-132.52320205714287</v>
      </c>
      <c r="J83" s="23">
        <f t="shared" si="49"/>
        <v>-4276.081986377143</v>
      </c>
      <c r="K83" s="23">
        <f t="shared" si="50"/>
        <v>-12.270666857142858</v>
      </c>
      <c r="L83" s="23">
        <f t="shared" si="51"/>
        <v>-118.78005517714286</v>
      </c>
      <c r="M83" s="23">
        <f t="shared" si="52"/>
        <v>-269.9546708571429</v>
      </c>
      <c r="N83" s="23">
        <f t="shared" si="29"/>
        <v>-0.14673443177450354</v>
      </c>
      <c r="O83" s="24">
        <f t="shared" si="18"/>
        <v>-3.5712068850823224E-2</v>
      </c>
      <c r="P83" s="24">
        <f t="shared" si="53"/>
        <v>-2.5329067720389842E-2</v>
      </c>
    </row>
    <row r="84" spans="1:16" x14ac:dyDescent="0.2">
      <c r="A84" s="22" t="s">
        <v>170</v>
      </c>
      <c r="B84" s="23">
        <f>(B82+-B29+-B30)*(0.9)</f>
        <v>-1908.7703999999999</v>
      </c>
      <c r="C84" s="25">
        <f t="shared" si="43"/>
        <v>-4.3381145454545453E-2</v>
      </c>
      <c r="D84" s="23"/>
      <c r="E84" s="34">
        <f t="shared" si="44"/>
        <v>-5726.3112000000001</v>
      </c>
      <c r="F84" s="23">
        <f t="shared" si="45"/>
        <v>-30.540326399999998</v>
      </c>
      <c r="G84" s="23">
        <f t="shared" si="46"/>
        <v>-22.905244799999998</v>
      </c>
      <c r="H84" s="23">
        <f t="shared" si="47"/>
        <v>-1431.5778</v>
      </c>
      <c r="I84" s="23">
        <f t="shared" si="48"/>
        <v>-1030.7360160000001</v>
      </c>
      <c r="J84" s="23">
        <f t="shared" si="49"/>
        <v>-33258.415449599997</v>
      </c>
      <c r="K84" s="23">
        <f t="shared" si="50"/>
        <v>-95.438519999999997</v>
      </c>
      <c r="L84" s="23">
        <f t="shared" si="51"/>
        <v>-923.84487359999991</v>
      </c>
      <c r="M84" s="23">
        <f t="shared" si="52"/>
        <v>-2099.6474400000002</v>
      </c>
      <c r="N84" s="23">
        <f t="shared" ref="N84:N132" si="54">M84/1839.75</f>
        <v>-1.1412678026905831</v>
      </c>
      <c r="O84" s="24">
        <f t="shared" si="18"/>
        <v>-0.27776053550640284</v>
      </c>
      <c r="P84" s="24">
        <f t="shared" si="53"/>
        <v>-0.19700386004747655</v>
      </c>
    </row>
    <row r="85" spans="1:16" x14ac:dyDescent="0.2">
      <c r="A85" s="22" t="s">
        <v>172</v>
      </c>
      <c r="B85" s="23">
        <f>-0.35*(1830+386+110)</f>
        <v>-814.09999999999991</v>
      </c>
      <c r="C85" s="25">
        <f t="shared" si="43"/>
        <v>-1.8502272727272725E-2</v>
      </c>
      <c r="D85" s="23"/>
      <c r="E85" s="34">
        <f t="shared" si="44"/>
        <v>-2442.2999999999997</v>
      </c>
      <c r="F85" s="23">
        <f t="shared" si="45"/>
        <v>-13.025599999999999</v>
      </c>
      <c r="G85" s="23">
        <f t="shared" si="46"/>
        <v>-9.7691999999999997</v>
      </c>
      <c r="H85" s="23">
        <f t="shared" si="47"/>
        <v>-610.57499999999993</v>
      </c>
      <c r="I85" s="23">
        <f t="shared" si="48"/>
        <v>-439.61399999999998</v>
      </c>
      <c r="J85" s="23">
        <f t="shared" si="49"/>
        <v>-14184.8784</v>
      </c>
      <c r="K85" s="23">
        <f t="shared" si="50"/>
        <v>-40.704999999999998</v>
      </c>
      <c r="L85" s="23">
        <f t="shared" si="51"/>
        <v>-394.02439999999996</v>
      </c>
      <c r="M85" s="23">
        <f t="shared" si="52"/>
        <v>-895.51</v>
      </c>
      <c r="N85" s="23">
        <f t="shared" si="54"/>
        <v>-0.48675635276532137</v>
      </c>
      <c r="O85" s="24">
        <f>M85/7559.2</f>
        <v>-0.1184662398137369</v>
      </c>
      <c r="P85" s="24">
        <f t="shared" si="53"/>
        <v>-8.4023119000928889E-2</v>
      </c>
    </row>
    <row r="86" spans="1:16" x14ac:dyDescent="0.2">
      <c r="A86" s="22" t="s">
        <v>195</v>
      </c>
      <c r="B86" s="23">
        <f>-197.8</f>
        <v>-197.8</v>
      </c>
      <c r="C86" s="25">
        <f t="shared" si="43"/>
        <v>-4.4954545454545455E-3</v>
      </c>
      <c r="D86" s="23"/>
      <c r="E86" s="34">
        <f t="shared" si="44"/>
        <v>-593.40000000000009</v>
      </c>
      <c r="F86" s="23">
        <f t="shared" si="45"/>
        <v>-3.1648000000000001</v>
      </c>
      <c r="G86" s="23">
        <f t="shared" si="46"/>
        <v>-2.3736000000000002</v>
      </c>
      <c r="H86" s="23">
        <f t="shared" si="47"/>
        <v>-148.35000000000002</v>
      </c>
      <c r="I86" s="23">
        <f t="shared" si="48"/>
        <v>-106.81200000000001</v>
      </c>
      <c r="J86" s="23">
        <f t="shared" si="49"/>
        <v>-3446.4672000000005</v>
      </c>
      <c r="K86" s="23">
        <f t="shared" si="50"/>
        <v>-9.89</v>
      </c>
      <c r="L86" s="23">
        <f t="shared" si="51"/>
        <v>-95.735200000000006</v>
      </c>
      <c r="M86" s="23">
        <f t="shared" si="52"/>
        <v>-217.58000000000004</v>
      </c>
      <c r="N86" s="23">
        <f t="shared" si="54"/>
        <v>-0.11826606875934233</v>
      </c>
      <c r="O86" s="24">
        <f t="shared" si="18"/>
        <v>-2.8783469150174629E-2</v>
      </c>
      <c r="P86" s="24">
        <f t="shared" si="53"/>
        <v>-2.0414903498813093E-2</v>
      </c>
    </row>
    <row r="87" spans="1:16" x14ac:dyDescent="0.2">
      <c r="A87" s="22" t="s">
        <v>196</v>
      </c>
      <c r="B87" s="23">
        <f>-B19</f>
        <v>-1672.5</v>
      </c>
      <c r="C87" s="25">
        <f t="shared" si="43"/>
        <v>-3.8011363636363635E-2</v>
      </c>
      <c r="D87" s="23"/>
      <c r="E87" s="34">
        <f t="shared" si="44"/>
        <v>-5017.5</v>
      </c>
      <c r="F87" s="23">
        <f t="shared" si="45"/>
        <v>-26.76</v>
      </c>
      <c r="G87" s="23">
        <f t="shared" si="46"/>
        <v>-20.07</v>
      </c>
      <c r="H87" s="23">
        <f t="shared" si="47"/>
        <v>-1254.375</v>
      </c>
      <c r="I87" s="23">
        <f t="shared" si="48"/>
        <v>-903.15000000000009</v>
      </c>
      <c r="J87" s="23">
        <f t="shared" si="49"/>
        <v>-29141.640000000003</v>
      </c>
      <c r="K87" s="23">
        <f t="shared" si="50"/>
        <v>-83.625</v>
      </c>
      <c r="L87" s="23">
        <f t="shared" si="51"/>
        <v>-809.49</v>
      </c>
      <c r="M87" s="23">
        <f t="shared" si="52"/>
        <v>-1839.7500000000002</v>
      </c>
      <c r="N87" s="23">
        <f t="shared" si="54"/>
        <v>-1.0000000000000002</v>
      </c>
      <c r="O87" s="24">
        <f t="shared" si="18"/>
        <v>-0.24337892898719446</v>
      </c>
      <c r="P87" s="24">
        <f t="shared" si="53"/>
        <v>-0.1726184332748478</v>
      </c>
    </row>
    <row r="88" spans="1:16" x14ac:dyDescent="0.2">
      <c r="A88" s="22" t="s">
        <v>58</v>
      </c>
      <c r="B88" s="23">
        <f>-6872/2</f>
        <v>-3436</v>
      </c>
      <c r="C88" s="25">
        <f t="shared" si="43"/>
        <v>-7.8090909090909086E-2</v>
      </c>
      <c r="D88" s="23"/>
      <c r="E88" s="34">
        <f t="shared" si="44"/>
        <v>-10308</v>
      </c>
      <c r="F88" s="23">
        <f t="shared" si="45"/>
        <v>-54.975999999999999</v>
      </c>
      <c r="G88" s="23">
        <f t="shared" si="46"/>
        <v>-41.231999999999999</v>
      </c>
      <c r="H88" s="23">
        <f t="shared" si="47"/>
        <v>-2577</v>
      </c>
      <c r="I88" s="23">
        <f t="shared" si="48"/>
        <v>-1855.44</v>
      </c>
      <c r="J88" s="23">
        <f t="shared" si="49"/>
        <v>-59868.864000000001</v>
      </c>
      <c r="K88" s="23">
        <f t="shared" si="50"/>
        <v>-171.8</v>
      </c>
      <c r="L88" s="23">
        <f t="shared" si="51"/>
        <v>-1663.0239999999999</v>
      </c>
      <c r="M88" s="23">
        <f t="shared" si="52"/>
        <v>-3779.6000000000004</v>
      </c>
      <c r="N88" s="23">
        <f t="shared" si="54"/>
        <v>-2.0544095665171902</v>
      </c>
      <c r="O88" s="24">
        <f t="shared" si="18"/>
        <v>-0.50000000000000011</v>
      </c>
      <c r="P88" s="24">
        <f t="shared" si="53"/>
        <v>-0.35462896067705652</v>
      </c>
    </row>
    <row r="89" spans="1:16" x14ac:dyDescent="0.2">
      <c r="A89" s="22" t="s">
        <v>59</v>
      </c>
      <c r="B89" s="23">
        <f>B88*2*2/3</f>
        <v>-4581.333333333333</v>
      </c>
      <c r="C89" s="25">
        <f t="shared" si="43"/>
        <v>-0.10412121212121211</v>
      </c>
      <c r="D89" s="23"/>
      <c r="E89" s="34">
        <f t="shared" si="44"/>
        <v>-13744</v>
      </c>
      <c r="F89" s="23">
        <f t="shared" si="45"/>
        <v>-73.301333333333332</v>
      </c>
      <c r="G89" s="23">
        <f t="shared" si="46"/>
        <v>-54.975999999999999</v>
      </c>
      <c r="H89" s="23">
        <f t="shared" si="47"/>
        <v>-3436</v>
      </c>
      <c r="I89" s="23">
        <f t="shared" si="48"/>
        <v>-2473.92</v>
      </c>
      <c r="J89" s="23">
        <f t="shared" si="49"/>
        <v>-79825.152000000002</v>
      </c>
      <c r="K89" s="23">
        <f t="shared" si="50"/>
        <v>-229.06666666666666</v>
      </c>
      <c r="L89" s="23">
        <f t="shared" si="51"/>
        <v>-2217.3653333333332</v>
      </c>
      <c r="M89" s="23">
        <f t="shared" si="52"/>
        <v>-5039.4666666666672</v>
      </c>
      <c r="N89" s="23">
        <f t="shared" si="54"/>
        <v>-2.7392127553562533</v>
      </c>
      <c r="O89" s="24">
        <f t="shared" si="18"/>
        <v>-0.66666666666666674</v>
      </c>
      <c r="P89" s="24">
        <f t="shared" si="53"/>
        <v>-0.47283861423607532</v>
      </c>
    </row>
    <row r="90" spans="1:16" x14ac:dyDescent="0.2">
      <c r="A90" s="22" t="s">
        <v>60</v>
      </c>
      <c r="B90" s="23">
        <v>-6872</v>
      </c>
      <c r="C90" s="25">
        <f t="shared" si="43"/>
        <v>-0.15618181818181817</v>
      </c>
      <c r="D90" s="23"/>
      <c r="E90" s="34">
        <f t="shared" si="44"/>
        <v>-20616</v>
      </c>
      <c r="F90" s="23">
        <f t="shared" si="45"/>
        <v>-109.952</v>
      </c>
      <c r="G90" s="23">
        <f t="shared" si="46"/>
        <v>-82.463999999999999</v>
      </c>
      <c r="H90" s="23">
        <f t="shared" si="47"/>
        <v>-5154</v>
      </c>
      <c r="I90" s="23">
        <f t="shared" si="48"/>
        <v>-3710.88</v>
      </c>
      <c r="J90" s="23">
        <f t="shared" si="49"/>
        <v>-119737.728</v>
      </c>
      <c r="K90" s="23">
        <f t="shared" si="50"/>
        <v>-343.6</v>
      </c>
      <c r="L90" s="23">
        <f t="shared" si="51"/>
        <v>-3326.0479999999998</v>
      </c>
      <c r="M90" s="23">
        <f t="shared" si="52"/>
        <v>-7559.2000000000007</v>
      </c>
      <c r="N90" s="23">
        <f t="shared" si="54"/>
        <v>-4.1088191330343804</v>
      </c>
      <c r="O90" s="24">
        <f t="shared" si="18"/>
        <v>-1.0000000000000002</v>
      </c>
      <c r="P90" s="24">
        <f t="shared" si="53"/>
        <v>-0.70925792135411303</v>
      </c>
    </row>
    <row r="91" spans="1:16" x14ac:dyDescent="0.2">
      <c r="A91" s="22" t="s">
        <v>192</v>
      </c>
      <c r="B91" s="23">
        <f>B90*0.2</f>
        <v>-1374.4</v>
      </c>
      <c r="C91" s="25">
        <f t="shared" si="43"/>
        <v>-3.1236363636363638E-2</v>
      </c>
      <c r="D91" s="23"/>
      <c r="E91" s="34">
        <f t="shared" si="44"/>
        <v>-4123.2000000000007</v>
      </c>
      <c r="F91" s="23">
        <f t="shared" si="45"/>
        <v>-21.990400000000001</v>
      </c>
      <c r="G91" s="23">
        <f t="shared" si="46"/>
        <v>-16.492800000000003</v>
      </c>
      <c r="H91" s="23">
        <f t="shared" si="47"/>
        <v>-1030.8000000000002</v>
      </c>
      <c r="I91" s="23">
        <f t="shared" si="48"/>
        <v>-742.17600000000004</v>
      </c>
      <c r="J91" s="23">
        <f t="shared" si="49"/>
        <v>-23947.545600000001</v>
      </c>
      <c r="K91" s="23">
        <f t="shared" si="50"/>
        <v>-68.720000000000013</v>
      </c>
      <c r="L91" s="23">
        <f t="shared" si="51"/>
        <v>-665.20960000000002</v>
      </c>
      <c r="M91" s="23">
        <f t="shared" si="52"/>
        <v>-1511.8400000000001</v>
      </c>
      <c r="N91" s="23">
        <f t="shared" si="54"/>
        <v>-0.82176382660687597</v>
      </c>
      <c r="O91" s="24">
        <f t="shared" si="18"/>
        <v>-0.2</v>
      </c>
      <c r="P91" s="24">
        <f t="shared" si="53"/>
        <v>-0.14185158427082259</v>
      </c>
    </row>
    <row r="92" spans="1:16" x14ac:dyDescent="0.2">
      <c r="A92" s="22" t="s">
        <v>238</v>
      </c>
      <c r="B92" s="23">
        <f>-B73/2.6+B75*0.3*2.6</f>
        <v>-1115.8537846153845</v>
      </c>
      <c r="C92" s="25">
        <f t="shared" si="43"/>
        <v>-2.5360313286713284E-2</v>
      </c>
      <c r="D92" s="23"/>
      <c r="E92" s="34">
        <f t="shared" si="44"/>
        <v>-3347.5613538461535</v>
      </c>
      <c r="F92" s="23">
        <f t="shared" si="45"/>
        <v>-17.853660553846151</v>
      </c>
      <c r="G92" s="23">
        <f t="shared" si="46"/>
        <v>-13.390245415384614</v>
      </c>
      <c r="H92" s="23">
        <f t="shared" si="47"/>
        <v>-836.89033846153836</v>
      </c>
      <c r="I92" s="23">
        <f t="shared" si="48"/>
        <v>-602.56104369230763</v>
      </c>
      <c r="J92" s="23">
        <f t="shared" si="49"/>
        <v>-19442.63634313846</v>
      </c>
      <c r="K92" s="23">
        <f t="shared" si="50"/>
        <v>-55.792689230769227</v>
      </c>
      <c r="L92" s="23">
        <f t="shared" si="51"/>
        <v>-540.07323175384613</v>
      </c>
      <c r="M92" s="23">
        <f t="shared" si="52"/>
        <v>-1227.439163076923</v>
      </c>
      <c r="N92" s="23">
        <f t="shared" si="54"/>
        <v>-0.66717715074163497</v>
      </c>
      <c r="O92" s="24">
        <f t="shared" si="18"/>
        <v>-0.1623768603922271</v>
      </c>
      <c r="P92" s="24">
        <f t="shared" si="53"/>
        <v>-0.11516707447779798</v>
      </c>
    </row>
    <row r="93" spans="1:16" x14ac:dyDescent="0.2">
      <c r="A93" s="22" t="s">
        <v>67</v>
      </c>
      <c r="B93" s="23">
        <f>B57*-0.5</f>
        <v>-611.01</v>
      </c>
      <c r="C93" s="25">
        <f t="shared" si="43"/>
        <v>-1.3886590909090909E-2</v>
      </c>
      <c r="D93" s="23"/>
      <c r="E93" s="34">
        <f t="shared" si="44"/>
        <v>-1833.03</v>
      </c>
      <c r="F93" s="23">
        <f t="shared" si="45"/>
        <v>-9.7761600000000008</v>
      </c>
      <c r="G93" s="23">
        <f t="shared" si="46"/>
        <v>-7.3321199999999997</v>
      </c>
      <c r="H93" s="23">
        <f t="shared" si="47"/>
        <v>-458.25749999999999</v>
      </c>
      <c r="I93" s="23">
        <f t="shared" si="48"/>
        <v>-329.94540000000001</v>
      </c>
      <c r="J93" s="23">
        <f t="shared" si="49"/>
        <v>-10646.238240000001</v>
      </c>
      <c r="K93" s="23">
        <f t="shared" si="50"/>
        <v>-30.5505</v>
      </c>
      <c r="L93" s="23">
        <f t="shared" si="51"/>
        <v>-295.72883999999999</v>
      </c>
      <c r="M93" s="23">
        <f t="shared" si="52"/>
        <v>-672.11099999999999</v>
      </c>
      <c r="N93" s="23">
        <f t="shared" si="54"/>
        <v>-0.36532735426008967</v>
      </c>
      <c r="O93" s="24">
        <f t="shared" si="18"/>
        <v>-8.891298020954598E-2</v>
      </c>
      <c r="P93" s="24">
        <f t="shared" si="53"/>
        <v>-6.3062235524821958E-2</v>
      </c>
    </row>
    <row r="94" spans="1:16" x14ac:dyDescent="0.2">
      <c r="A94" s="22" t="s">
        <v>64</v>
      </c>
      <c r="B94" s="23">
        <f>-B13*0.105</f>
        <v>-721.56</v>
      </c>
      <c r="C94" s="25">
        <f t="shared" si="43"/>
        <v>-1.6399090909090908E-2</v>
      </c>
      <c r="D94" s="23"/>
      <c r="E94" s="34">
        <f t="shared" si="44"/>
        <v>-2164.6799999999998</v>
      </c>
      <c r="F94" s="23">
        <f t="shared" si="45"/>
        <v>-11.54496</v>
      </c>
      <c r="G94" s="23">
        <f t="shared" si="46"/>
        <v>-8.6587199999999989</v>
      </c>
      <c r="H94" s="23">
        <f t="shared" si="47"/>
        <v>-541.16999999999996</v>
      </c>
      <c r="I94" s="23">
        <f t="shared" si="48"/>
        <v>-389.64240000000001</v>
      </c>
      <c r="J94" s="23">
        <f t="shared" si="49"/>
        <v>-12572.461439999999</v>
      </c>
      <c r="K94" s="23">
        <f t="shared" si="50"/>
        <v>-36.077999999999996</v>
      </c>
      <c r="L94" s="23">
        <f t="shared" si="51"/>
        <v>-349.23503999999997</v>
      </c>
      <c r="M94" s="23">
        <f t="shared" si="52"/>
        <v>-793.71600000000001</v>
      </c>
      <c r="N94" s="23">
        <f t="shared" si="54"/>
        <v>-0.43142600896860989</v>
      </c>
      <c r="O94" s="24">
        <f t="shared" si="18"/>
        <v>-0.10500000000000001</v>
      </c>
      <c r="P94" s="24">
        <f t="shared" si="53"/>
        <v>-7.4472081742181853E-2</v>
      </c>
    </row>
    <row r="95" spans="1:16" x14ac:dyDescent="0.2">
      <c r="A95" s="22" t="s">
        <v>231</v>
      </c>
      <c r="B95" s="23">
        <f>B96*0.1</f>
        <v>-499.01538461538462</v>
      </c>
      <c r="C95" s="25">
        <f t="shared" si="43"/>
        <v>-1.1341258741258742E-2</v>
      </c>
      <c r="D95" s="23"/>
      <c r="E95" s="34">
        <f t="shared" si="44"/>
        <v>-1497.0461538461539</v>
      </c>
      <c r="F95" s="23">
        <f t="shared" si="45"/>
        <v>-7.9842461538461542</v>
      </c>
      <c r="G95" s="23">
        <f t="shared" si="46"/>
        <v>-5.9881846153846157</v>
      </c>
      <c r="H95" s="23">
        <f t="shared" si="47"/>
        <v>-374.26153846153846</v>
      </c>
      <c r="I95" s="23">
        <f t="shared" si="48"/>
        <v>-269.46830769230769</v>
      </c>
      <c r="J95" s="23">
        <f t="shared" si="49"/>
        <v>-8694.8440615384625</v>
      </c>
      <c r="K95" s="23">
        <f t="shared" si="50"/>
        <v>-24.950769230769232</v>
      </c>
      <c r="L95" s="23">
        <f t="shared" si="51"/>
        <v>-241.52344615384615</v>
      </c>
      <c r="M95" s="23">
        <f t="shared" si="52"/>
        <v>-548.91692307692313</v>
      </c>
      <c r="N95" s="23">
        <f t="shared" si="54"/>
        <v>-0.29836495343221803</v>
      </c>
      <c r="O95" s="24">
        <f t="shared" si="18"/>
        <v>-7.2615742813647369E-2</v>
      </c>
      <c r="P95" s="24">
        <f t="shared" si="53"/>
        <v>-5.1503290805592392E-2</v>
      </c>
    </row>
    <row r="96" spans="1:16" x14ac:dyDescent="0.2">
      <c r="A96" s="22" t="s">
        <v>230</v>
      </c>
      <c r="B96" s="23">
        <f>D96*1.2/2.6</f>
        <v>-4990.1538461538457</v>
      </c>
      <c r="C96" s="25">
        <f t="shared" si="43"/>
        <v>-0.1134125874125874</v>
      </c>
      <c r="D96" s="23">
        <v>-10812</v>
      </c>
      <c r="E96" s="34">
        <f t="shared" si="44"/>
        <v>-14970.461538461537</v>
      </c>
      <c r="F96" s="23">
        <f t="shared" si="45"/>
        <v>-79.842461538461535</v>
      </c>
      <c r="G96" s="23">
        <f t="shared" si="46"/>
        <v>-59.881846153846148</v>
      </c>
      <c r="H96" s="23">
        <f t="shared" si="47"/>
        <v>-3742.6153846153843</v>
      </c>
      <c r="I96" s="23">
        <f t="shared" si="48"/>
        <v>-2694.6830769230769</v>
      </c>
      <c r="J96" s="23">
        <f t="shared" si="49"/>
        <v>-86948.440615384607</v>
      </c>
      <c r="K96" s="23">
        <f t="shared" si="50"/>
        <v>-249.50769230769231</v>
      </c>
      <c r="L96" s="23">
        <f t="shared" si="51"/>
        <v>-2415.2344615384613</v>
      </c>
      <c r="M96" s="23">
        <f t="shared" si="52"/>
        <v>-5489.169230769231</v>
      </c>
      <c r="N96" s="23">
        <f t="shared" si="54"/>
        <v>-2.9836495343221801</v>
      </c>
      <c r="O96" s="24">
        <f t="shared" si="18"/>
        <v>-0.72615742813647355</v>
      </c>
      <c r="P96" s="24">
        <f t="shared" si="53"/>
        <v>-0.51503290805592394</v>
      </c>
    </row>
    <row r="97" spans="1:16" x14ac:dyDescent="0.2">
      <c r="A97" s="22" t="s">
        <v>254</v>
      </c>
      <c r="B97" s="23">
        <f>D97*1.2/2.6</f>
        <v>-280.69615384615383</v>
      </c>
      <c r="C97" s="25">
        <f t="shared" si="43"/>
        <v>-6.3794580419580414E-3</v>
      </c>
      <c r="D97" s="23">
        <f>0.075*0.75*D96</f>
        <v>-608.17499999999995</v>
      </c>
      <c r="E97" s="34">
        <f t="shared" si="44"/>
        <v>-842.08846153846162</v>
      </c>
      <c r="F97" s="23">
        <f t="shared" si="45"/>
        <v>-4.4911384615384611</v>
      </c>
      <c r="G97" s="23">
        <f t="shared" si="46"/>
        <v>-3.368353846153846</v>
      </c>
      <c r="H97" s="23">
        <f t="shared" si="47"/>
        <v>-210.52211538461538</v>
      </c>
      <c r="I97" s="23">
        <f t="shared" si="48"/>
        <v>-151.57592307692309</v>
      </c>
      <c r="J97" s="23">
        <f t="shared" si="49"/>
        <v>-4890.8497846153841</v>
      </c>
      <c r="K97" s="23">
        <f t="shared" si="50"/>
        <v>-14.034807692307693</v>
      </c>
      <c r="L97" s="23">
        <f t="shared" si="51"/>
        <v>-135.85693846153845</v>
      </c>
      <c r="M97" s="23">
        <f t="shared" si="52"/>
        <v>-308.76576923076925</v>
      </c>
      <c r="N97" s="23">
        <f t="shared" si="54"/>
        <v>-0.16783028630562263</v>
      </c>
      <c r="O97" s="24">
        <f t="shared" si="18"/>
        <v>-4.0846355332676637E-2</v>
      </c>
      <c r="P97" s="24">
        <f t="shared" si="53"/>
        <v>-2.8970601078145718E-2</v>
      </c>
    </row>
    <row r="98" spans="1:16" x14ac:dyDescent="0.2">
      <c r="A98" s="22" t="s">
        <v>253</v>
      </c>
      <c r="B98" s="23">
        <f>D98*1.2/2.6</f>
        <v>-374.26153846153841</v>
      </c>
      <c r="C98" s="25">
        <f t="shared" si="43"/>
        <v>-8.5059440559440546E-3</v>
      </c>
      <c r="D98" s="23">
        <f>0.075*D96</f>
        <v>-810.9</v>
      </c>
      <c r="E98" s="34">
        <f t="shared" si="44"/>
        <v>-1122.7846153846153</v>
      </c>
      <c r="F98" s="23">
        <f t="shared" si="45"/>
        <v>-5.9881846153846148</v>
      </c>
      <c r="G98" s="23">
        <f t="shared" si="46"/>
        <v>-4.4911384615384611</v>
      </c>
      <c r="H98" s="23">
        <f t="shared" si="47"/>
        <v>-280.69615384615383</v>
      </c>
      <c r="I98" s="23">
        <f t="shared" si="48"/>
        <v>-202.10123076923077</v>
      </c>
      <c r="J98" s="23">
        <f t="shared" si="49"/>
        <v>-6521.1330461538464</v>
      </c>
      <c r="K98" s="23">
        <f t="shared" si="50"/>
        <v>-18.713076923076922</v>
      </c>
      <c r="L98" s="23">
        <f t="shared" si="51"/>
        <v>-181.14258461538458</v>
      </c>
      <c r="M98" s="23">
        <f t="shared" si="52"/>
        <v>-411.68769230769226</v>
      </c>
      <c r="N98" s="23">
        <f t="shared" si="54"/>
        <v>-0.22377371507416347</v>
      </c>
      <c r="O98" s="24">
        <f t="shared" si="18"/>
        <v>-5.4461807110235509E-2</v>
      </c>
      <c r="P98" s="24">
        <f t="shared" si="53"/>
        <v>-3.8627468104194283E-2</v>
      </c>
    </row>
    <row r="99" spans="1:16" x14ac:dyDescent="0.2">
      <c r="A99" s="22" t="s">
        <v>135</v>
      </c>
      <c r="B99" s="23">
        <f>-2.25*365</f>
        <v>-821.25</v>
      </c>
      <c r="C99" s="25">
        <f t="shared" si="43"/>
        <v>-1.8664772727272728E-2</v>
      </c>
      <c r="D99" s="23"/>
      <c r="E99" s="34">
        <f t="shared" si="44"/>
        <v>-2463.75</v>
      </c>
      <c r="F99" s="23">
        <f t="shared" si="45"/>
        <v>-13.14</v>
      </c>
      <c r="G99" s="23">
        <f t="shared" si="46"/>
        <v>-9.8550000000000004</v>
      </c>
      <c r="H99" s="23">
        <f t="shared" si="47"/>
        <v>-615.9375</v>
      </c>
      <c r="I99" s="23">
        <f t="shared" si="48"/>
        <v>-443.47500000000002</v>
      </c>
      <c r="J99" s="23">
        <f t="shared" si="49"/>
        <v>-14309.460000000001</v>
      </c>
      <c r="K99" s="23">
        <f t="shared" si="50"/>
        <v>-41.0625</v>
      </c>
      <c r="L99" s="23">
        <f t="shared" si="51"/>
        <v>-397.48500000000001</v>
      </c>
      <c r="M99" s="23">
        <f t="shared" si="52"/>
        <v>-903.37500000000011</v>
      </c>
      <c r="N99" s="23">
        <f t="shared" si="54"/>
        <v>-0.49103139013452923</v>
      </c>
      <c r="O99" s="24">
        <f t="shared" si="18"/>
        <v>-0.11950669383003494</v>
      </c>
      <c r="P99" s="24">
        <f t="shared" si="53"/>
        <v>-8.4761069253792981E-2</v>
      </c>
    </row>
    <row r="100" spans="1:16" x14ac:dyDescent="0.2">
      <c r="A100" s="22" t="s">
        <v>244</v>
      </c>
      <c r="B100" s="23">
        <f>-181/2.6</f>
        <v>-69.615384615384613</v>
      </c>
      <c r="C100" s="25">
        <f t="shared" si="43"/>
        <v>-1.582167832167832E-3</v>
      </c>
      <c r="D100" s="23"/>
      <c r="E100" s="34">
        <f t="shared" si="44"/>
        <v>-208.84615384615384</v>
      </c>
      <c r="F100" s="23">
        <f t="shared" si="45"/>
        <v>-1.1138461538461539</v>
      </c>
      <c r="G100" s="23">
        <f t="shared" si="46"/>
        <v>-0.83538461538461539</v>
      </c>
      <c r="H100" s="23">
        <f t="shared" si="47"/>
        <v>-52.21153846153846</v>
      </c>
      <c r="I100" s="23">
        <f t="shared" si="48"/>
        <v>-37.592307692307692</v>
      </c>
      <c r="J100" s="23">
        <f t="shared" si="49"/>
        <v>-1212.9784615384615</v>
      </c>
      <c r="K100" s="23">
        <f t="shared" si="50"/>
        <v>-3.4807692307692308</v>
      </c>
      <c r="L100" s="23">
        <f t="shared" si="51"/>
        <v>-33.693846153846152</v>
      </c>
      <c r="M100" s="23">
        <f t="shared" si="52"/>
        <v>-76.57692307692308</v>
      </c>
      <c r="N100" s="23">
        <f t="shared" si="54"/>
        <v>-4.162354835000575E-2</v>
      </c>
      <c r="O100" s="24">
        <f t="shared" si="18"/>
        <v>-1.0130294618071103E-2</v>
      </c>
      <c r="P100" s="24">
        <f t="shared" si="53"/>
        <v>-7.184991703517868E-3</v>
      </c>
    </row>
    <row r="101" spans="1:16" x14ac:dyDescent="0.2">
      <c r="A101" s="22" t="s">
        <v>245</v>
      </c>
      <c r="B101" s="48">
        <f>-88/2.6</f>
        <v>-33.846153846153847</v>
      </c>
      <c r="C101" s="25">
        <f t="shared" si="43"/>
        <v>-7.6923076923076923E-4</v>
      </c>
      <c r="D101" s="23"/>
      <c r="E101" s="34">
        <f t="shared" si="44"/>
        <v>-101.53846153846155</v>
      </c>
      <c r="F101" s="23">
        <f t="shared" si="45"/>
        <v>-0.54153846153846152</v>
      </c>
      <c r="G101" s="23">
        <f t="shared" si="46"/>
        <v>-0.40615384615384614</v>
      </c>
      <c r="H101" s="23">
        <f t="shared" si="47"/>
        <v>-25.384615384615387</v>
      </c>
      <c r="I101" s="23">
        <f t="shared" si="48"/>
        <v>-18.276923076923079</v>
      </c>
      <c r="J101" s="23">
        <f t="shared" si="49"/>
        <v>-589.73538461538465</v>
      </c>
      <c r="K101" s="23">
        <f t="shared" si="50"/>
        <v>-1.6923076923076925</v>
      </c>
      <c r="L101" s="23">
        <f t="shared" si="51"/>
        <v>-16.381538461538462</v>
      </c>
      <c r="M101" s="23">
        <f t="shared" si="52"/>
        <v>-37.230769230769234</v>
      </c>
      <c r="N101" s="23">
        <f t="shared" si="54"/>
        <v>-2.0236863286190641E-2</v>
      </c>
      <c r="O101" s="24">
        <f t="shared" si="18"/>
        <v>-4.9252261126533541E-3</v>
      </c>
      <c r="P101" s="24">
        <f t="shared" si="53"/>
        <v>-3.4932556348595159E-3</v>
      </c>
    </row>
    <row r="102" spans="1:16" x14ac:dyDescent="0.2">
      <c r="A102" s="22" t="s">
        <v>243</v>
      </c>
      <c r="B102" s="23">
        <f>-0.35*(1830+386+110)/2.6</f>
        <v>-313.11538461538458</v>
      </c>
      <c r="C102" s="25">
        <f t="shared" si="43"/>
        <v>-7.1162587412587405E-3</v>
      </c>
      <c r="D102" s="23"/>
      <c r="E102" s="34">
        <f t="shared" si="44"/>
        <v>-939.34615384615392</v>
      </c>
      <c r="F102" s="23">
        <f t="shared" si="45"/>
        <v>-5.0098461538461532</v>
      </c>
      <c r="G102" s="23">
        <f t="shared" si="46"/>
        <v>-3.7573846153846149</v>
      </c>
      <c r="H102" s="23">
        <f t="shared" si="47"/>
        <v>-234.83653846153845</v>
      </c>
      <c r="I102" s="23">
        <f t="shared" si="48"/>
        <v>-169.08230769230769</v>
      </c>
      <c r="J102" s="23">
        <f t="shared" si="49"/>
        <v>-5455.7224615384612</v>
      </c>
      <c r="K102" s="23">
        <f t="shared" si="50"/>
        <v>-15.655769230769231</v>
      </c>
      <c r="L102" s="23">
        <f t="shared" si="51"/>
        <v>-151.54784615384614</v>
      </c>
      <c r="M102" s="23">
        <f t="shared" si="52"/>
        <v>-344.42692307692306</v>
      </c>
      <c r="N102" s="23">
        <f t="shared" si="54"/>
        <v>-0.1872139818328159</v>
      </c>
      <c r="O102" s="24">
        <f t="shared" si="18"/>
        <v>-4.5563938389898806E-2</v>
      </c>
      <c r="P102" s="24">
        <f t="shared" si="53"/>
        <v>-3.2316584231126495E-2</v>
      </c>
    </row>
    <row r="103" spans="1:16" x14ac:dyDescent="0.2">
      <c r="A103" s="22" t="s">
        <v>184</v>
      </c>
      <c r="B103" s="23">
        <v>-0.04</v>
      </c>
      <c r="C103" s="25">
        <f t="shared" si="43"/>
        <v>-9.0909090909090915E-7</v>
      </c>
      <c r="D103" s="23"/>
      <c r="E103" s="34">
        <f t="shared" si="44"/>
        <v>-0.12</v>
      </c>
      <c r="F103" s="23">
        <f t="shared" si="45"/>
        <v>-6.4000000000000005E-4</v>
      </c>
      <c r="G103" s="23">
        <f t="shared" si="46"/>
        <v>-4.8000000000000001E-4</v>
      </c>
      <c r="H103" s="23">
        <f t="shared" si="47"/>
        <v>-0.03</v>
      </c>
      <c r="I103" s="23">
        <f t="shared" si="48"/>
        <v>-2.1600000000000001E-2</v>
      </c>
      <c r="J103" s="23">
        <f t="shared" si="49"/>
        <v>-0.69696000000000013</v>
      </c>
      <c r="K103" s="23">
        <f t="shared" si="50"/>
        <v>-2E-3</v>
      </c>
      <c r="L103" s="23">
        <f t="shared" si="51"/>
        <v>-1.9359999999999999E-2</v>
      </c>
      <c r="M103" s="23">
        <f t="shared" si="52"/>
        <v>-4.4000000000000004E-2</v>
      </c>
      <c r="N103" s="23">
        <f t="shared" si="54"/>
        <v>-2.3916292974588941E-5</v>
      </c>
      <c r="O103" s="24">
        <f t="shared" si="18"/>
        <v>-5.8207217694994188E-6</v>
      </c>
      <c r="P103" s="24">
        <f t="shared" si="53"/>
        <v>-4.128393023015792E-6</v>
      </c>
    </row>
    <row r="104" spans="1:16" x14ac:dyDescent="0.2">
      <c r="A104" s="22" t="s">
        <v>255</v>
      </c>
      <c r="B104" s="23">
        <f>B103*4*261</f>
        <v>-41.76</v>
      </c>
      <c r="C104" s="25">
        <f t="shared" si="43"/>
        <v>-9.4909090909090909E-4</v>
      </c>
      <c r="D104" s="23"/>
      <c r="E104" s="34">
        <f t="shared" si="44"/>
        <v>-125.27999999999999</v>
      </c>
      <c r="F104" s="23">
        <f t="shared" si="45"/>
        <v>-0.66815999999999998</v>
      </c>
      <c r="G104" s="23">
        <f t="shared" si="46"/>
        <v>-0.50112000000000001</v>
      </c>
      <c r="H104" s="23">
        <f t="shared" si="47"/>
        <v>-31.32</v>
      </c>
      <c r="I104" s="23">
        <f t="shared" si="48"/>
        <v>-22.5504</v>
      </c>
      <c r="J104" s="23">
        <f t="shared" si="49"/>
        <v>-727.62624000000005</v>
      </c>
      <c r="K104" s="23">
        <f t="shared" si="50"/>
        <v>-2.0880000000000001</v>
      </c>
      <c r="L104" s="23">
        <f t="shared" si="51"/>
        <v>-20.211839999999999</v>
      </c>
      <c r="M104" s="23">
        <f t="shared" si="52"/>
        <v>-45.936</v>
      </c>
      <c r="N104" s="23">
        <f t="shared" si="54"/>
        <v>-2.496860986547085E-2</v>
      </c>
      <c r="O104" s="24">
        <f t="shared" si="18"/>
        <v>-6.0768335273573924E-3</v>
      </c>
      <c r="P104" s="24">
        <f t="shared" si="53"/>
        <v>-4.3100423160284864E-3</v>
      </c>
    </row>
    <row r="105" spans="1:16" x14ac:dyDescent="0.2">
      <c r="A105" s="22" t="s">
        <v>256</v>
      </c>
      <c r="B105" s="23">
        <f>-476/2.6</f>
        <v>-183.07692307692307</v>
      </c>
      <c r="C105" s="25">
        <f t="shared" si="43"/>
        <v>-4.1608391608391609E-3</v>
      </c>
      <c r="D105" s="23"/>
      <c r="E105" s="34">
        <f t="shared" si="44"/>
        <v>-549.23076923076928</v>
      </c>
      <c r="F105" s="23">
        <f t="shared" si="45"/>
        <v>-2.9292307692307693</v>
      </c>
      <c r="G105" s="23">
        <f t="shared" si="46"/>
        <v>-2.1969230769230768</v>
      </c>
      <c r="H105" s="23">
        <f t="shared" si="47"/>
        <v>-137.30769230769229</v>
      </c>
      <c r="I105" s="23">
        <f t="shared" si="48"/>
        <v>-98.861538461538458</v>
      </c>
      <c r="J105" s="23">
        <f t="shared" si="49"/>
        <v>-3189.9323076923074</v>
      </c>
      <c r="K105" s="23">
        <f t="shared" si="50"/>
        <v>-9.1538461538461533</v>
      </c>
      <c r="L105" s="23">
        <f t="shared" si="51"/>
        <v>-88.609230769230763</v>
      </c>
      <c r="M105" s="23">
        <f t="shared" si="52"/>
        <v>-201.38461538461539</v>
      </c>
      <c r="N105" s="23">
        <f t="shared" si="54"/>
        <v>-0.10946303322984938</v>
      </c>
      <c r="O105" s="24">
        <f t="shared" si="18"/>
        <v>-2.6640995791170415E-2</v>
      </c>
      <c r="P105" s="24">
        <f t="shared" si="53"/>
        <v>-1.8895337297649199E-2</v>
      </c>
    </row>
    <row r="106" spans="1:16" x14ac:dyDescent="0.2">
      <c r="A106" s="22" t="s">
        <v>202</v>
      </c>
      <c r="B106" s="23">
        <v>-42.34</v>
      </c>
      <c r="C106" s="25">
        <f t="shared" si="43"/>
        <v>-9.622727272727273E-4</v>
      </c>
      <c r="D106" s="23"/>
      <c r="E106" s="34">
        <f t="shared" si="44"/>
        <v>-127.02000000000002</v>
      </c>
      <c r="F106" s="23">
        <f t="shared" si="45"/>
        <v>-0.67744000000000004</v>
      </c>
      <c r="G106" s="23">
        <f t="shared" si="46"/>
        <v>-0.50808000000000009</v>
      </c>
      <c r="H106" s="23">
        <f t="shared" si="47"/>
        <v>-31.755000000000003</v>
      </c>
      <c r="I106" s="23">
        <f t="shared" si="48"/>
        <v>-22.863600000000002</v>
      </c>
      <c r="J106" s="23">
        <f t="shared" si="49"/>
        <v>-737.73216000000014</v>
      </c>
      <c r="K106" s="23">
        <f t="shared" si="50"/>
        <v>-2.1170000000000004</v>
      </c>
      <c r="L106" s="23">
        <f t="shared" si="51"/>
        <v>-20.492560000000001</v>
      </c>
      <c r="M106" s="23">
        <f t="shared" si="52"/>
        <v>-46.574000000000005</v>
      </c>
      <c r="N106" s="23">
        <f t="shared" si="54"/>
        <v>-2.5315396113602395E-2</v>
      </c>
      <c r="O106" s="24">
        <f t="shared" si="18"/>
        <v>-6.1612339930151349E-3</v>
      </c>
      <c r="P106" s="24">
        <f t="shared" si="53"/>
        <v>-4.3699040148622156E-3</v>
      </c>
    </row>
    <row r="107" spans="1:16" x14ac:dyDescent="0.2">
      <c r="A107" s="22" t="s">
        <v>203</v>
      </c>
      <c r="B107" s="23">
        <f>B106*20</f>
        <v>-846.80000000000007</v>
      </c>
      <c r="C107" s="25">
        <f t="shared" si="43"/>
        <v>-1.9245454545454548E-2</v>
      </c>
      <c r="D107" s="23"/>
      <c r="E107" s="34">
        <f t="shared" ref="E107" si="55">B107/1.2*3.6</f>
        <v>-2540.4000000000005</v>
      </c>
      <c r="F107" s="23">
        <f t="shared" ref="F107" si="56">B107*0.016</f>
        <v>-13.548800000000002</v>
      </c>
      <c r="G107" s="23">
        <f t="shared" ref="G107" si="57">B107*0.012</f>
        <v>-10.161600000000002</v>
      </c>
      <c r="H107" s="23">
        <f t="shared" ref="H107" si="58">B107*0.75</f>
        <v>-635.1</v>
      </c>
      <c r="I107" s="23">
        <f t="shared" ref="I107" si="59">B107*0.54</f>
        <v>-457.27200000000005</v>
      </c>
      <c r="J107" s="23">
        <f t="shared" ref="J107" si="60">B107*0.0004*43560</f>
        <v>-14754.6432</v>
      </c>
      <c r="K107" s="23">
        <f t="shared" ref="K107" si="61">B107*0.05</f>
        <v>-42.34</v>
      </c>
      <c r="L107" s="23">
        <f t="shared" ref="L107" si="62">B107*0.484</f>
        <v>-409.85120000000001</v>
      </c>
      <c r="M107" s="23">
        <f t="shared" ref="M107" si="63">B107*1.1</f>
        <v>-931.48000000000013</v>
      </c>
      <c r="N107" s="23">
        <f t="shared" ref="N107" si="64">M107/1839.75</f>
        <v>-0.50630792227204791</v>
      </c>
      <c r="O107" s="24">
        <f t="shared" ref="O107" si="65">M107/7559.2</f>
        <v>-0.12322467986030269</v>
      </c>
      <c r="P107" s="24">
        <f t="shared" ref="P107" si="66">M107/10657.9</f>
        <v>-8.7398080297244315E-2</v>
      </c>
    </row>
    <row r="108" spans="1:16" x14ac:dyDescent="0.2">
      <c r="A108" s="22" t="s">
        <v>226</v>
      </c>
      <c r="B108" s="23">
        <f>-2000/2.6</f>
        <v>-769.23076923076917</v>
      </c>
      <c r="C108" s="25">
        <f t="shared" si="43"/>
        <v>-1.748251748251748E-2</v>
      </c>
      <c r="D108" s="23"/>
      <c r="E108" s="34">
        <f t="shared" ref="E108:E109" si="67">B108/1.2*3.6</f>
        <v>-2307.6923076923076</v>
      </c>
      <c r="F108" s="23">
        <f t="shared" ref="F108:F109" si="68">B108*0.016</f>
        <v>-12.307692307692307</v>
      </c>
      <c r="G108" s="23">
        <f t="shared" ref="G108:G109" si="69">B108*0.012</f>
        <v>-9.2307692307692299</v>
      </c>
      <c r="H108" s="23">
        <f t="shared" ref="H108:H109" si="70">B108*0.75</f>
        <v>-576.92307692307691</v>
      </c>
      <c r="I108" s="23">
        <f t="shared" ref="I108:I109" si="71">B108*0.54</f>
        <v>-415.38461538461536</v>
      </c>
      <c r="J108" s="23">
        <f t="shared" ref="J108:J109" si="72">B108*0.0004*43560</f>
        <v>-13403.076923076924</v>
      </c>
      <c r="K108" s="23">
        <f t="shared" ref="K108:K109" si="73">B108*0.05</f>
        <v>-38.46153846153846</v>
      </c>
      <c r="L108" s="23">
        <f t="shared" ref="L108:L109" si="74">B108*0.484</f>
        <v>-372.30769230769226</v>
      </c>
      <c r="M108" s="23">
        <f t="shared" ref="M108:M109" si="75">B108*1.1</f>
        <v>-846.15384615384619</v>
      </c>
      <c r="N108" s="23">
        <f t="shared" ref="N108:N109" si="76">M108/1839.75</f>
        <v>-0.45992871104978728</v>
      </c>
      <c r="O108" s="24">
        <f t="shared" ref="O108:O109" si="77">M108/7559.2</f>
        <v>-0.11193695710575804</v>
      </c>
      <c r="P108" s="24">
        <f t="shared" ref="P108:P109" si="78">M108/10657.9</f>
        <v>-7.9392173519534454E-2</v>
      </c>
    </row>
    <row r="109" spans="1:16" x14ac:dyDescent="0.2">
      <c r="A109" s="22" t="s">
        <v>227</v>
      </c>
      <c r="B109" s="23">
        <f>-1850/2.6</f>
        <v>-711.53846153846155</v>
      </c>
      <c r="C109" s="25">
        <f t="shared" si="43"/>
        <v>-1.6171328671328672E-2</v>
      </c>
      <c r="D109" s="23"/>
      <c r="E109" s="34">
        <f t="shared" si="67"/>
        <v>-2134.6153846153848</v>
      </c>
      <c r="F109" s="23">
        <f t="shared" si="68"/>
        <v>-11.384615384615385</v>
      </c>
      <c r="G109" s="23">
        <f t="shared" si="69"/>
        <v>-8.5384615384615383</v>
      </c>
      <c r="H109" s="23">
        <f t="shared" si="70"/>
        <v>-533.65384615384619</v>
      </c>
      <c r="I109" s="23">
        <f t="shared" si="71"/>
        <v>-384.23076923076928</v>
      </c>
      <c r="J109" s="23">
        <f t="shared" si="72"/>
        <v>-12397.846153846156</v>
      </c>
      <c r="K109" s="23">
        <f t="shared" si="73"/>
        <v>-35.57692307692308</v>
      </c>
      <c r="L109" s="23">
        <f t="shared" si="74"/>
        <v>-344.38461538461536</v>
      </c>
      <c r="M109" s="23">
        <f t="shared" si="75"/>
        <v>-782.69230769230774</v>
      </c>
      <c r="N109" s="23">
        <f t="shared" si="76"/>
        <v>-0.42543405772105325</v>
      </c>
      <c r="O109" s="24">
        <f t="shared" si="77"/>
        <v>-0.10354168532282619</v>
      </c>
      <c r="P109" s="24">
        <f t="shared" si="78"/>
        <v>-7.3437760505569369E-2</v>
      </c>
    </row>
    <row r="110" spans="1:16" x14ac:dyDescent="0.2">
      <c r="A110" s="22"/>
      <c r="B110" s="23"/>
      <c r="C110" s="25"/>
      <c r="D110" s="23"/>
      <c r="E110" s="34"/>
      <c r="F110" s="23"/>
      <c r="G110" s="23"/>
      <c r="H110" s="23"/>
      <c r="I110" s="23"/>
      <c r="J110" s="23"/>
      <c r="K110" s="23"/>
      <c r="L110" s="23"/>
      <c r="M110" s="23"/>
      <c r="N110" s="23"/>
      <c r="O110" s="24"/>
      <c r="P110" s="24"/>
    </row>
    <row r="111" spans="1:16" x14ac:dyDescent="0.2">
      <c r="A111" s="22"/>
      <c r="B111" s="23"/>
      <c r="C111" s="25"/>
      <c r="D111" s="23"/>
      <c r="E111" s="34"/>
      <c r="F111" s="23"/>
      <c r="G111" s="23"/>
      <c r="H111" s="23"/>
      <c r="I111" s="23"/>
      <c r="J111" s="23"/>
      <c r="K111" s="23"/>
      <c r="L111" s="23"/>
      <c r="M111" s="23"/>
      <c r="N111" s="23"/>
      <c r="O111" s="24"/>
      <c r="P111" s="24"/>
    </row>
    <row r="112" spans="1:16" x14ac:dyDescent="0.2">
      <c r="A112" s="26" t="s">
        <v>78</v>
      </c>
      <c r="B112" s="23"/>
      <c r="C112" s="25"/>
      <c r="D112" s="23"/>
      <c r="E112" s="34"/>
      <c r="F112" s="23"/>
      <c r="G112" s="23"/>
      <c r="H112" s="23"/>
      <c r="I112" s="23"/>
      <c r="J112" s="23"/>
      <c r="K112" s="23"/>
      <c r="L112" s="23"/>
      <c r="M112" s="23"/>
      <c r="N112" s="23"/>
      <c r="O112" s="24"/>
      <c r="P112" s="24"/>
    </row>
    <row r="113" spans="1:16" x14ac:dyDescent="0.2">
      <c r="A113" s="22" t="s">
        <v>79</v>
      </c>
      <c r="B113" s="23">
        <v>703.7</v>
      </c>
      <c r="C113" s="25">
        <f t="shared" ref="C113:C132" si="79">B113/44000</f>
        <v>1.599318181818182E-2</v>
      </c>
      <c r="D113" s="23"/>
      <c r="E113" s="34">
        <f>B113/1.2*3.6</f>
        <v>2111.1000000000004</v>
      </c>
      <c r="F113" s="23">
        <f t="shared" ref="F113:F132" si="80">B113*0.016</f>
        <v>11.259200000000002</v>
      </c>
      <c r="G113" s="23">
        <f t="shared" ref="G113:G132" si="81">B113*0.012</f>
        <v>8.4443999999999999</v>
      </c>
      <c r="H113" s="23">
        <f t="shared" ref="H113:H132" si="82">B113*0.75</f>
        <v>527.77500000000009</v>
      </c>
      <c r="I113" s="23">
        <f t="shared" ref="I113:I132" si="83">B113*0.54</f>
        <v>379.99800000000005</v>
      </c>
      <c r="J113" s="23">
        <f t="shared" ref="J113:J132" si="84">B113*0.0004*43560</f>
        <v>12261.2688</v>
      </c>
      <c r="K113" s="23">
        <f t="shared" ref="K113:K132" si="85">B113*0.05</f>
        <v>35.185000000000002</v>
      </c>
      <c r="L113" s="23">
        <f t="shared" ref="L113:L132" si="86">B113*0.484</f>
        <v>340.5908</v>
      </c>
      <c r="M113" s="23">
        <f t="shared" ref="M113:M132" si="87">B113*1.1</f>
        <v>774.07000000000016</v>
      </c>
      <c r="N113" s="23">
        <f t="shared" si="54"/>
        <v>0.42074738415545598</v>
      </c>
      <c r="O113" s="24">
        <f t="shared" ref="O113:O132" si="88">M113/7559.2</f>
        <v>0.10240104772991854</v>
      </c>
      <c r="P113" s="24">
        <f t="shared" ref="P113:P132" si="89">M113/10657.9</f>
        <v>7.2628754257405323E-2</v>
      </c>
    </row>
    <row r="114" spans="1:16" x14ac:dyDescent="0.2">
      <c r="A114" s="22" t="s">
        <v>80</v>
      </c>
      <c r="B114" s="23">
        <v>866.76</v>
      </c>
      <c r="C114" s="25">
        <f t="shared" si="79"/>
        <v>1.9699090909090909E-2</v>
      </c>
      <c r="D114" s="23"/>
      <c r="E114" s="34">
        <f>B114/1.2*3.6</f>
        <v>2600.2800000000002</v>
      </c>
      <c r="F114" s="23">
        <f t="shared" si="80"/>
        <v>13.86816</v>
      </c>
      <c r="G114" s="23">
        <f t="shared" si="81"/>
        <v>10.401120000000001</v>
      </c>
      <c r="H114" s="23">
        <f t="shared" si="82"/>
        <v>650.06999999999994</v>
      </c>
      <c r="I114" s="23">
        <f t="shared" si="83"/>
        <v>468.05040000000002</v>
      </c>
      <c r="J114" s="23">
        <f t="shared" si="84"/>
        <v>15102.426240000001</v>
      </c>
      <c r="K114" s="23">
        <f t="shared" si="85"/>
        <v>43.338000000000001</v>
      </c>
      <c r="L114" s="23">
        <f t="shared" si="86"/>
        <v>419.51184000000001</v>
      </c>
      <c r="M114" s="23">
        <f t="shared" si="87"/>
        <v>953.43600000000004</v>
      </c>
      <c r="N114" s="23">
        <f t="shared" si="54"/>
        <v>0.51824215246636773</v>
      </c>
      <c r="O114" s="24">
        <f t="shared" si="88"/>
        <v>0.12612922002328289</v>
      </c>
      <c r="P114" s="24">
        <f t="shared" si="89"/>
        <v>8.9458148415729188E-2</v>
      </c>
    </row>
    <row r="115" spans="1:16" x14ac:dyDescent="0.2">
      <c r="A115" s="22" t="s">
        <v>81</v>
      </c>
      <c r="B115" s="23">
        <v>163.88</v>
      </c>
      <c r="C115" s="25">
        <f t="shared" si="79"/>
        <v>3.7245454545454543E-3</v>
      </c>
      <c r="D115" s="23"/>
      <c r="E115" s="34">
        <f>B115/1.2*3.6</f>
        <v>491.64</v>
      </c>
      <c r="F115" s="23">
        <f t="shared" si="80"/>
        <v>2.62208</v>
      </c>
      <c r="G115" s="23">
        <f t="shared" si="81"/>
        <v>1.9665600000000001</v>
      </c>
      <c r="H115" s="23">
        <f t="shared" si="82"/>
        <v>122.91</v>
      </c>
      <c r="I115" s="23">
        <f t="shared" si="83"/>
        <v>88.495199999999997</v>
      </c>
      <c r="J115" s="23">
        <f t="shared" si="84"/>
        <v>2855.4451199999999</v>
      </c>
      <c r="K115" s="23">
        <f t="shared" si="85"/>
        <v>8.1940000000000008</v>
      </c>
      <c r="L115" s="23">
        <f t="shared" si="86"/>
        <v>79.317920000000001</v>
      </c>
      <c r="M115" s="23">
        <f t="shared" si="87"/>
        <v>180.268</v>
      </c>
      <c r="N115" s="23">
        <f t="shared" si="54"/>
        <v>9.7985052316890878E-2</v>
      </c>
      <c r="O115" s="24">
        <f t="shared" si="88"/>
        <v>2.3847497089639114E-2</v>
      </c>
      <c r="P115" s="24">
        <f t="shared" si="89"/>
        <v>1.6914026215295697E-2</v>
      </c>
    </row>
    <row r="116" spans="1:16" x14ac:dyDescent="0.2">
      <c r="A116" s="22"/>
      <c r="B116" s="23"/>
      <c r="C116" s="25">
        <f t="shared" si="79"/>
        <v>0</v>
      </c>
      <c r="D116" s="23"/>
      <c r="E116" s="34"/>
      <c r="F116" s="23">
        <f t="shared" si="80"/>
        <v>0</v>
      </c>
      <c r="G116" s="23">
        <f t="shared" si="81"/>
        <v>0</v>
      </c>
      <c r="H116" s="23">
        <f t="shared" si="82"/>
        <v>0</v>
      </c>
      <c r="I116" s="23">
        <f t="shared" si="83"/>
        <v>0</v>
      </c>
      <c r="J116" s="23">
        <f t="shared" si="84"/>
        <v>0</v>
      </c>
      <c r="K116" s="23">
        <f t="shared" si="85"/>
        <v>0</v>
      </c>
      <c r="L116" s="23">
        <f t="shared" si="86"/>
        <v>0</v>
      </c>
      <c r="M116" s="23">
        <f t="shared" si="87"/>
        <v>0</v>
      </c>
      <c r="N116" s="23">
        <f t="shared" si="54"/>
        <v>0</v>
      </c>
      <c r="O116" s="24">
        <f t="shared" si="88"/>
        <v>0</v>
      </c>
      <c r="P116" s="24">
        <f t="shared" si="89"/>
        <v>0</v>
      </c>
    </row>
    <row r="117" spans="1:16" x14ac:dyDescent="0.2">
      <c r="A117" s="22"/>
      <c r="B117" s="23"/>
      <c r="C117" s="25">
        <f t="shared" si="79"/>
        <v>0</v>
      </c>
      <c r="D117" s="23"/>
      <c r="E117" s="34"/>
      <c r="F117" s="23">
        <f t="shared" si="80"/>
        <v>0</v>
      </c>
      <c r="G117" s="23">
        <f t="shared" si="81"/>
        <v>0</v>
      </c>
      <c r="H117" s="23">
        <f t="shared" si="82"/>
        <v>0</v>
      </c>
      <c r="I117" s="23">
        <f t="shared" si="83"/>
        <v>0</v>
      </c>
      <c r="J117" s="23">
        <f t="shared" si="84"/>
        <v>0</v>
      </c>
      <c r="K117" s="23">
        <f t="shared" si="85"/>
        <v>0</v>
      </c>
      <c r="L117" s="23">
        <f t="shared" si="86"/>
        <v>0</v>
      </c>
      <c r="M117" s="23">
        <f t="shared" si="87"/>
        <v>0</v>
      </c>
      <c r="N117" s="23">
        <f t="shared" si="54"/>
        <v>0</v>
      </c>
      <c r="O117" s="24">
        <f t="shared" si="88"/>
        <v>0</v>
      </c>
      <c r="P117" s="24">
        <f t="shared" si="89"/>
        <v>0</v>
      </c>
    </row>
    <row r="118" spans="1:16" x14ac:dyDescent="0.2">
      <c r="A118" s="22"/>
      <c r="B118" s="23"/>
      <c r="C118" s="25">
        <f t="shared" si="79"/>
        <v>0</v>
      </c>
      <c r="D118" s="23"/>
      <c r="E118" s="34"/>
      <c r="F118" s="23">
        <f t="shared" si="80"/>
        <v>0</v>
      </c>
      <c r="G118" s="23">
        <f t="shared" si="81"/>
        <v>0</v>
      </c>
      <c r="H118" s="23">
        <f t="shared" si="82"/>
        <v>0</v>
      </c>
      <c r="I118" s="23">
        <f t="shared" si="83"/>
        <v>0</v>
      </c>
      <c r="J118" s="23">
        <f t="shared" si="84"/>
        <v>0</v>
      </c>
      <c r="K118" s="23">
        <f t="shared" si="85"/>
        <v>0</v>
      </c>
      <c r="L118" s="23">
        <f t="shared" si="86"/>
        <v>0</v>
      </c>
      <c r="M118" s="23">
        <f t="shared" si="87"/>
        <v>0</v>
      </c>
      <c r="N118" s="23">
        <f t="shared" si="54"/>
        <v>0</v>
      </c>
      <c r="O118" s="24">
        <f t="shared" si="88"/>
        <v>0</v>
      </c>
      <c r="P118" s="24">
        <f t="shared" si="89"/>
        <v>0</v>
      </c>
    </row>
    <row r="119" spans="1:16" x14ac:dyDescent="0.2">
      <c r="A119" s="22"/>
      <c r="B119" s="23"/>
      <c r="C119" s="25">
        <f t="shared" si="79"/>
        <v>0</v>
      </c>
      <c r="D119" s="23"/>
      <c r="E119" s="34"/>
      <c r="F119" s="23">
        <f t="shared" si="80"/>
        <v>0</v>
      </c>
      <c r="G119" s="23">
        <f t="shared" si="81"/>
        <v>0</v>
      </c>
      <c r="H119" s="23">
        <f t="shared" si="82"/>
        <v>0</v>
      </c>
      <c r="I119" s="23">
        <f t="shared" si="83"/>
        <v>0</v>
      </c>
      <c r="J119" s="23">
        <f t="shared" si="84"/>
        <v>0</v>
      </c>
      <c r="K119" s="23">
        <f t="shared" si="85"/>
        <v>0</v>
      </c>
      <c r="L119" s="23">
        <f t="shared" si="86"/>
        <v>0</v>
      </c>
      <c r="M119" s="23">
        <f t="shared" si="87"/>
        <v>0</v>
      </c>
      <c r="N119" s="23">
        <f t="shared" si="54"/>
        <v>0</v>
      </c>
      <c r="O119" s="24">
        <f t="shared" si="88"/>
        <v>0</v>
      </c>
      <c r="P119" s="24">
        <f t="shared" si="89"/>
        <v>0</v>
      </c>
    </row>
    <row r="120" spans="1:16" x14ac:dyDescent="0.2">
      <c r="A120" s="22"/>
      <c r="B120" s="23"/>
      <c r="C120" s="25">
        <f t="shared" si="79"/>
        <v>0</v>
      </c>
      <c r="D120" s="23"/>
      <c r="E120" s="34"/>
      <c r="F120" s="23">
        <f t="shared" si="80"/>
        <v>0</v>
      </c>
      <c r="G120" s="23">
        <f t="shared" si="81"/>
        <v>0</v>
      </c>
      <c r="H120" s="23">
        <f t="shared" si="82"/>
        <v>0</v>
      </c>
      <c r="I120" s="23">
        <f t="shared" si="83"/>
        <v>0</v>
      </c>
      <c r="J120" s="23">
        <f t="shared" si="84"/>
        <v>0</v>
      </c>
      <c r="K120" s="23">
        <f t="shared" si="85"/>
        <v>0</v>
      </c>
      <c r="L120" s="23">
        <f t="shared" si="86"/>
        <v>0</v>
      </c>
      <c r="M120" s="23">
        <f t="shared" si="87"/>
        <v>0</v>
      </c>
      <c r="N120" s="23">
        <f t="shared" si="54"/>
        <v>0</v>
      </c>
      <c r="O120" s="24">
        <f t="shared" si="88"/>
        <v>0</v>
      </c>
      <c r="P120" s="24">
        <f t="shared" si="89"/>
        <v>0</v>
      </c>
    </row>
    <row r="121" spans="1:16" x14ac:dyDescent="0.2">
      <c r="A121" s="22"/>
      <c r="B121" s="23"/>
      <c r="C121" s="25">
        <f t="shared" si="79"/>
        <v>0</v>
      </c>
      <c r="D121" s="23"/>
      <c r="E121" s="34"/>
      <c r="F121" s="23">
        <f t="shared" si="80"/>
        <v>0</v>
      </c>
      <c r="G121" s="23">
        <f t="shared" si="81"/>
        <v>0</v>
      </c>
      <c r="H121" s="23">
        <f t="shared" si="82"/>
        <v>0</v>
      </c>
      <c r="I121" s="23">
        <f t="shared" si="83"/>
        <v>0</v>
      </c>
      <c r="J121" s="23">
        <f t="shared" si="84"/>
        <v>0</v>
      </c>
      <c r="K121" s="23">
        <f t="shared" si="85"/>
        <v>0</v>
      </c>
      <c r="L121" s="23">
        <f t="shared" si="86"/>
        <v>0</v>
      </c>
      <c r="M121" s="23">
        <f t="shared" si="87"/>
        <v>0</v>
      </c>
      <c r="N121" s="23">
        <f t="shared" si="54"/>
        <v>0</v>
      </c>
      <c r="O121" s="24">
        <f t="shared" si="88"/>
        <v>0</v>
      </c>
      <c r="P121" s="24">
        <f t="shared" si="89"/>
        <v>0</v>
      </c>
    </row>
    <row r="122" spans="1:16" x14ac:dyDescent="0.2">
      <c r="A122" s="22"/>
      <c r="B122" s="23"/>
      <c r="C122" s="25">
        <f t="shared" si="79"/>
        <v>0</v>
      </c>
      <c r="D122" s="23"/>
      <c r="E122" s="34"/>
      <c r="F122" s="23">
        <f t="shared" si="80"/>
        <v>0</v>
      </c>
      <c r="G122" s="23">
        <f t="shared" si="81"/>
        <v>0</v>
      </c>
      <c r="H122" s="23">
        <f t="shared" si="82"/>
        <v>0</v>
      </c>
      <c r="I122" s="23">
        <f t="shared" si="83"/>
        <v>0</v>
      </c>
      <c r="J122" s="23">
        <f t="shared" si="84"/>
        <v>0</v>
      </c>
      <c r="K122" s="23">
        <f t="shared" si="85"/>
        <v>0</v>
      </c>
      <c r="L122" s="23">
        <f t="shared" si="86"/>
        <v>0</v>
      </c>
      <c r="M122" s="23">
        <f t="shared" si="87"/>
        <v>0</v>
      </c>
      <c r="N122" s="23">
        <f t="shared" si="54"/>
        <v>0</v>
      </c>
      <c r="O122" s="24">
        <f t="shared" si="88"/>
        <v>0</v>
      </c>
      <c r="P122" s="24">
        <f t="shared" si="89"/>
        <v>0</v>
      </c>
    </row>
    <row r="123" spans="1:16" x14ac:dyDescent="0.2">
      <c r="A123" s="22"/>
      <c r="B123" s="23"/>
      <c r="C123" s="25">
        <f t="shared" si="79"/>
        <v>0</v>
      </c>
      <c r="D123" s="23"/>
      <c r="E123" s="34"/>
      <c r="F123" s="23">
        <f t="shared" si="80"/>
        <v>0</v>
      </c>
      <c r="G123" s="23">
        <f t="shared" si="81"/>
        <v>0</v>
      </c>
      <c r="H123" s="23">
        <f t="shared" si="82"/>
        <v>0</v>
      </c>
      <c r="I123" s="23">
        <f t="shared" si="83"/>
        <v>0</v>
      </c>
      <c r="J123" s="23">
        <f t="shared" si="84"/>
        <v>0</v>
      </c>
      <c r="K123" s="23">
        <f t="shared" si="85"/>
        <v>0</v>
      </c>
      <c r="L123" s="23">
        <f t="shared" si="86"/>
        <v>0</v>
      </c>
      <c r="M123" s="23">
        <f t="shared" si="87"/>
        <v>0</v>
      </c>
      <c r="N123" s="23">
        <f t="shared" si="54"/>
        <v>0</v>
      </c>
      <c r="O123" s="24">
        <f t="shared" si="88"/>
        <v>0</v>
      </c>
      <c r="P123" s="24">
        <f t="shared" si="89"/>
        <v>0</v>
      </c>
    </row>
    <row r="124" spans="1:16" x14ac:dyDescent="0.2">
      <c r="A124" s="22"/>
      <c r="B124" s="23"/>
      <c r="C124" s="25">
        <f t="shared" si="79"/>
        <v>0</v>
      </c>
      <c r="D124" s="23"/>
      <c r="E124" s="34"/>
      <c r="F124" s="23">
        <f t="shared" si="80"/>
        <v>0</v>
      </c>
      <c r="G124" s="23">
        <f t="shared" si="81"/>
        <v>0</v>
      </c>
      <c r="H124" s="23">
        <f t="shared" si="82"/>
        <v>0</v>
      </c>
      <c r="I124" s="23">
        <f t="shared" si="83"/>
        <v>0</v>
      </c>
      <c r="J124" s="23">
        <f t="shared" si="84"/>
        <v>0</v>
      </c>
      <c r="K124" s="23">
        <f t="shared" si="85"/>
        <v>0</v>
      </c>
      <c r="L124" s="23">
        <f t="shared" si="86"/>
        <v>0</v>
      </c>
      <c r="M124" s="23">
        <f t="shared" si="87"/>
        <v>0</v>
      </c>
      <c r="N124" s="23">
        <f t="shared" si="54"/>
        <v>0</v>
      </c>
      <c r="O124" s="24">
        <f t="shared" si="88"/>
        <v>0</v>
      </c>
      <c r="P124" s="24">
        <f t="shared" si="89"/>
        <v>0</v>
      </c>
    </row>
    <row r="125" spans="1:16" x14ac:dyDescent="0.2">
      <c r="A125" s="22"/>
      <c r="B125" s="23"/>
      <c r="C125" s="25">
        <f t="shared" si="79"/>
        <v>0</v>
      </c>
      <c r="D125" s="23"/>
      <c r="E125" s="34"/>
      <c r="F125" s="23">
        <f t="shared" si="80"/>
        <v>0</v>
      </c>
      <c r="G125" s="23">
        <f t="shared" si="81"/>
        <v>0</v>
      </c>
      <c r="H125" s="23">
        <f t="shared" si="82"/>
        <v>0</v>
      </c>
      <c r="I125" s="23">
        <f t="shared" si="83"/>
        <v>0</v>
      </c>
      <c r="J125" s="23">
        <f t="shared" si="84"/>
        <v>0</v>
      </c>
      <c r="K125" s="23">
        <f t="shared" si="85"/>
        <v>0</v>
      </c>
      <c r="L125" s="23">
        <f t="shared" si="86"/>
        <v>0</v>
      </c>
      <c r="M125" s="23">
        <f t="shared" si="87"/>
        <v>0</v>
      </c>
      <c r="N125" s="23">
        <f t="shared" si="54"/>
        <v>0</v>
      </c>
      <c r="O125" s="24">
        <f t="shared" si="88"/>
        <v>0</v>
      </c>
      <c r="P125" s="24">
        <f t="shared" si="89"/>
        <v>0</v>
      </c>
    </row>
    <row r="126" spans="1:16" x14ac:dyDescent="0.2">
      <c r="A126" s="22"/>
      <c r="B126" s="23"/>
      <c r="C126" s="25">
        <f t="shared" si="79"/>
        <v>0</v>
      </c>
      <c r="D126" s="23"/>
      <c r="E126" s="34"/>
      <c r="F126" s="23">
        <f t="shared" si="80"/>
        <v>0</v>
      </c>
      <c r="G126" s="23">
        <f t="shared" si="81"/>
        <v>0</v>
      </c>
      <c r="H126" s="23">
        <f t="shared" si="82"/>
        <v>0</v>
      </c>
      <c r="I126" s="23">
        <f t="shared" si="83"/>
        <v>0</v>
      </c>
      <c r="J126" s="23">
        <f t="shared" si="84"/>
        <v>0</v>
      </c>
      <c r="K126" s="23">
        <f t="shared" si="85"/>
        <v>0</v>
      </c>
      <c r="L126" s="23">
        <f t="shared" si="86"/>
        <v>0</v>
      </c>
      <c r="M126" s="23">
        <f t="shared" si="87"/>
        <v>0</v>
      </c>
      <c r="N126" s="23">
        <f t="shared" si="54"/>
        <v>0</v>
      </c>
      <c r="O126" s="24">
        <f t="shared" si="88"/>
        <v>0</v>
      </c>
      <c r="P126" s="24">
        <f t="shared" si="89"/>
        <v>0</v>
      </c>
    </row>
    <row r="127" spans="1:16" x14ac:dyDescent="0.2">
      <c r="A127" s="22"/>
      <c r="B127" s="23"/>
      <c r="C127" s="25">
        <f t="shared" si="79"/>
        <v>0</v>
      </c>
      <c r="D127" s="23"/>
      <c r="E127" s="34"/>
      <c r="F127" s="23">
        <f t="shared" si="80"/>
        <v>0</v>
      </c>
      <c r="G127" s="23">
        <f t="shared" si="81"/>
        <v>0</v>
      </c>
      <c r="H127" s="23">
        <f t="shared" si="82"/>
        <v>0</v>
      </c>
      <c r="I127" s="23">
        <f t="shared" si="83"/>
        <v>0</v>
      </c>
      <c r="J127" s="23">
        <f t="shared" si="84"/>
        <v>0</v>
      </c>
      <c r="K127" s="23">
        <f t="shared" si="85"/>
        <v>0</v>
      </c>
      <c r="L127" s="23">
        <f t="shared" si="86"/>
        <v>0</v>
      </c>
      <c r="M127" s="23">
        <f t="shared" si="87"/>
        <v>0</v>
      </c>
      <c r="N127" s="23">
        <f t="shared" si="54"/>
        <v>0</v>
      </c>
      <c r="O127" s="24">
        <f t="shared" si="88"/>
        <v>0</v>
      </c>
      <c r="P127" s="24">
        <f t="shared" si="89"/>
        <v>0</v>
      </c>
    </row>
    <row r="128" spans="1:16" x14ac:dyDescent="0.2">
      <c r="A128" s="22"/>
      <c r="B128" s="23"/>
      <c r="C128" s="25">
        <f t="shared" si="79"/>
        <v>0</v>
      </c>
      <c r="D128" s="23"/>
      <c r="E128" s="34"/>
      <c r="F128" s="23">
        <f t="shared" si="80"/>
        <v>0</v>
      </c>
      <c r="G128" s="23">
        <f t="shared" si="81"/>
        <v>0</v>
      </c>
      <c r="H128" s="23">
        <f t="shared" si="82"/>
        <v>0</v>
      </c>
      <c r="I128" s="23">
        <f t="shared" si="83"/>
        <v>0</v>
      </c>
      <c r="J128" s="23">
        <f t="shared" si="84"/>
        <v>0</v>
      </c>
      <c r="K128" s="23">
        <f t="shared" si="85"/>
        <v>0</v>
      </c>
      <c r="L128" s="23">
        <f t="shared" si="86"/>
        <v>0</v>
      </c>
      <c r="M128" s="23">
        <f t="shared" si="87"/>
        <v>0</v>
      </c>
      <c r="N128" s="23">
        <f t="shared" si="54"/>
        <v>0</v>
      </c>
      <c r="O128" s="24">
        <f t="shared" si="88"/>
        <v>0</v>
      </c>
      <c r="P128" s="24">
        <f t="shared" si="89"/>
        <v>0</v>
      </c>
    </row>
    <row r="129" spans="1:16" x14ac:dyDescent="0.2">
      <c r="A129" s="22"/>
      <c r="B129" s="23"/>
      <c r="C129" s="25">
        <f t="shared" si="79"/>
        <v>0</v>
      </c>
      <c r="D129" s="23"/>
      <c r="E129" s="34"/>
      <c r="F129" s="23">
        <f t="shared" si="80"/>
        <v>0</v>
      </c>
      <c r="G129" s="23">
        <f t="shared" si="81"/>
        <v>0</v>
      </c>
      <c r="H129" s="23">
        <f t="shared" si="82"/>
        <v>0</v>
      </c>
      <c r="I129" s="23">
        <f t="shared" si="83"/>
        <v>0</v>
      </c>
      <c r="J129" s="23">
        <f t="shared" si="84"/>
        <v>0</v>
      </c>
      <c r="K129" s="23">
        <f t="shared" si="85"/>
        <v>0</v>
      </c>
      <c r="L129" s="23">
        <f t="shared" si="86"/>
        <v>0</v>
      </c>
      <c r="M129" s="23">
        <f t="shared" si="87"/>
        <v>0</v>
      </c>
      <c r="N129" s="23">
        <f t="shared" si="54"/>
        <v>0</v>
      </c>
      <c r="O129" s="24">
        <f t="shared" si="88"/>
        <v>0</v>
      </c>
      <c r="P129" s="24">
        <f t="shared" si="89"/>
        <v>0</v>
      </c>
    </row>
    <row r="130" spans="1:16" x14ac:dyDescent="0.2">
      <c r="A130" s="22"/>
      <c r="B130" s="23"/>
      <c r="C130" s="25">
        <f t="shared" si="79"/>
        <v>0</v>
      </c>
      <c r="D130" s="23"/>
      <c r="E130" s="34"/>
      <c r="F130" s="23">
        <f t="shared" si="80"/>
        <v>0</v>
      </c>
      <c r="G130" s="23">
        <f t="shared" si="81"/>
        <v>0</v>
      </c>
      <c r="H130" s="23">
        <f t="shared" si="82"/>
        <v>0</v>
      </c>
      <c r="I130" s="23">
        <f t="shared" si="83"/>
        <v>0</v>
      </c>
      <c r="J130" s="23">
        <f t="shared" si="84"/>
        <v>0</v>
      </c>
      <c r="K130" s="23">
        <f t="shared" si="85"/>
        <v>0</v>
      </c>
      <c r="L130" s="23">
        <f t="shared" si="86"/>
        <v>0</v>
      </c>
      <c r="M130" s="23">
        <f t="shared" si="87"/>
        <v>0</v>
      </c>
      <c r="N130" s="23">
        <f t="shared" si="54"/>
        <v>0</v>
      </c>
      <c r="O130" s="24">
        <f t="shared" si="88"/>
        <v>0</v>
      </c>
      <c r="P130" s="24">
        <f t="shared" si="89"/>
        <v>0</v>
      </c>
    </row>
    <row r="131" spans="1:16" x14ac:dyDescent="0.2">
      <c r="A131" s="22"/>
      <c r="B131" s="23"/>
      <c r="C131" s="25">
        <f t="shared" si="79"/>
        <v>0</v>
      </c>
      <c r="D131" s="23"/>
      <c r="E131" s="34"/>
      <c r="F131" s="23">
        <f t="shared" si="80"/>
        <v>0</v>
      </c>
      <c r="G131" s="23">
        <f t="shared" si="81"/>
        <v>0</v>
      </c>
      <c r="H131" s="23">
        <f t="shared" si="82"/>
        <v>0</v>
      </c>
      <c r="I131" s="23">
        <f t="shared" si="83"/>
        <v>0</v>
      </c>
      <c r="J131" s="23">
        <f t="shared" si="84"/>
        <v>0</v>
      </c>
      <c r="K131" s="23">
        <f t="shared" si="85"/>
        <v>0</v>
      </c>
      <c r="L131" s="23">
        <f t="shared" si="86"/>
        <v>0</v>
      </c>
      <c r="M131" s="23">
        <f t="shared" si="87"/>
        <v>0</v>
      </c>
      <c r="N131" s="23">
        <f t="shared" si="54"/>
        <v>0</v>
      </c>
      <c r="O131" s="24">
        <f t="shared" si="88"/>
        <v>0</v>
      </c>
      <c r="P131" s="24">
        <f t="shared" si="89"/>
        <v>0</v>
      </c>
    </row>
    <row r="132" spans="1:16" x14ac:dyDescent="0.2">
      <c r="A132" s="22"/>
      <c r="B132" s="23"/>
      <c r="C132" s="25">
        <f t="shared" si="79"/>
        <v>0</v>
      </c>
      <c r="D132" s="23"/>
      <c r="E132" s="34"/>
      <c r="F132" s="23">
        <f t="shared" si="80"/>
        <v>0</v>
      </c>
      <c r="G132" s="23">
        <f t="shared" si="81"/>
        <v>0</v>
      </c>
      <c r="H132" s="23">
        <f t="shared" si="82"/>
        <v>0</v>
      </c>
      <c r="I132" s="23">
        <f t="shared" si="83"/>
        <v>0</v>
      </c>
      <c r="J132" s="23">
        <f t="shared" si="84"/>
        <v>0</v>
      </c>
      <c r="K132" s="23">
        <f t="shared" si="85"/>
        <v>0</v>
      </c>
      <c r="L132" s="23">
        <f t="shared" si="86"/>
        <v>0</v>
      </c>
      <c r="M132" s="23">
        <f t="shared" si="87"/>
        <v>0</v>
      </c>
      <c r="N132" s="23">
        <f t="shared" si="54"/>
        <v>0</v>
      </c>
      <c r="O132" s="24">
        <f t="shared" si="88"/>
        <v>0</v>
      </c>
      <c r="P132" s="24">
        <f t="shared" si="8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activeCell="A6" sqref="A6"/>
    </sheetView>
  </sheetViews>
  <sheetFormatPr baseColWidth="10" defaultRowHeight="16" x14ac:dyDescent="0.2"/>
  <cols>
    <col min="1" max="1" width="63.83203125" style="10" bestFit="1" customWidth="1"/>
    <col min="2" max="2" width="12.6640625" style="10" bestFit="1" customWidth="1"/>
    <col min="3" max="3" width="10.6640625" style="36" bestFit="1" customWidth="1"/>
    <col min="4" max="4" width="10.6640625" style="10" bestFit="1" customWidth="1"/>
    <col min="5" max="5" width="14.6640625" style="10" bestFit="1" customWidth="1"/>
    <col min="6" max="6" width="9.6640625" style="10" bestFit="1" customWidth="1"/>
    <col min="7" max="7" width="13.83203125" style="10" bestFit="1" customWidth="1"/>
    <col min="8" max="8" width="15.33203125" style="10" bestFit="1" customWidth="1"/>
    <col min="9" max="9" width="13.33203125" style="10" bestFit="1" customWidth="1"/>
    <col min="10" max="10" width="13.5" style="10" bestFit="1" customWidth="1"/>
    <col min="11" max="11" width="10.5" style="10" bestFit="1" customWidth="1"/>
    <col min="12" max="12" width="13.33203125" style="10" bestFit="1" customWidth="1"/>
    <col min="13" max="13" width="17" style="10" bestFit="1" customWidth="1"/>
    <col min="14" max="14" width="10.83203125" style="10" customWidth="1"/>
    <col min="15" max="15" width="9.1640625" style="36" bestFit="1" customWidth="1"/>
    <col min="16" max="16" width="8.5" style="36" bestFit="1" customWidth="1"/>
    <col min="17" max="16384" width="10.83203125" style="10"/>
  </cols>
  <sheetData>
    <row r="1" spans="1:16" x14ac:dyDescent="0.2">
      <c r="A1" s="10" t="s">
        <v>221</v>
      </c>
    </row>
    <row r="3" spans="1:16" s="39" customFormat="1" ht="80" x14ac:dyDescent="0.2">
      <c r="A3" s="38" t="s">
        <v>0</v>
      </c>
      <c r="B3" s="16" t="s">
        <v>6</v>
      </c>
      <c r="C3" s="37" t="s">
        <v>183</v>
      </c>
      <c r="D3" s="16" t="s">
        <v>193</v>
      </c>
      <c r="E3" s="16" t="s">
        <v>198</v>
      </c>
      <c r="F3" s="16" t="s">
        <v>1</v>
      </c>
      <c r="G3" s="16" t="s">
        <v>200</v>
      </c>
      <c r="H3" s="16" t="s">
        <v>127</v>
      </c>
      <c r="I3" s="16" t="s">
        <v>126</v>
      </c>
      <c r="J3" s="16" t="s">
        <v>128</v>
      </c>
      <c r="K3" s="16" t="s">
        <v>3</v>
      </c>
      <c r="L3" s="16" t="s">
        <v>4</v>
      </c>
      <c r="M3" s="16" t="s">
        <v>5</v>
      </c>
      <c r="N3" s="16" t="s">
        <v>194</v>
      </c>
      <c r="O3" s="37" t="s">
        <v>69</v>
      </c>
      <c r="P3" s="37" t="s">
        <v>143</v>
      </c>
    </row>
    <row r="4" spans="1:16" x14ac:dyDescent="0.2">
      <c r="A4" s="23" t="s">
        <v>79</v>
      </c>
      <c r="B4" s="23">
        <v>703.7</v>
      </c>
      <c r="C4" s="40">
        <v>1.599318181818182E-2</v>
      </c>
      <c r="D4" s="23"/>
      <c r="E4" s="23">
        <v>2111.1000000000004</v>
      </c>
      <c r="F4" s="23">
        <v>11.259200000000002</v>
      </c>
      <c r="G4" s="23">
        <v>8.4443999999999999</v>
      </c>
      <c r="H4" s="23">
        <v>527.77500000000009</v>
      </c>
      <c r="I4" s="23">
        <v>379.99800000000005</v>
      </c>
      <c r="J4" s="23">
        <v>12261.2688</v>
      </c>
      <c r="K4" s="23">
        <v>35.185000000000002</v>
      </c>
      <c r="L4" s="23">
        <v>340.5908</v>
      </c>
      <c r="M4" s="23">
        <v>774.07000000000016</v>
      </c>
      <c r="N4" s="23">
        <v>0.42074738415545598</v>
      </c>
      <c r="O4" s="40">
        <v>0.10240104772991854</v>
      </c>
      <c r="P4" s="40">
        <v>7.2628754257405323E-2</v>
      </c>
    </row>
    <row r="5" spans="1:16" x14ac:dyDescent="0.2">
      <c r="A5" s="23"/>
      <c r="B5" s="23"/>
      <c r="C5" s="40"/>
      <c r="D5" s="23"/>
      <c r="E5" s="23"/>
      <c r="F5" s="23"/>
      <c r="G5" s="23"/>
      <c r="H5" s="23"/>
      <c r="I5" s="23"/>
      <c r="J5" s="23"/>
      <c r="K5" s="23"/>
      <c r="L5" s="23"/>
      <c r="M5" s="23"/>
      <c r="N5" s="23"/>
      <c r="O5" s="40"/>
      <c r="P5" s="40"/>
    </row>
    <row r="6" spans="1:16" ht="32" x14ac:dyDescent="0.2">
      <c r="A6" s="41" t="s">
        <v>222</v>
      </c>
      <c r="B6" s="16" t="s">
        <v>6</v>
      </c>
      <c r="C6" s="40"/>
      <c r="D6" s="23"/>
      <c r="E6" s="23"/>
      <c r="F6" s="23"/>
      <c r="G6" s="23"/>
      <c r="H6" s="23"/>
      <c r="I6" s="23"/>
      <c r="J6" s="23"/>
      <c r="K6" s="23"/>
      <c r="L6" s="23"/>
      <c r="M6" s="23"/>
      <c r="N6" s="23"/>
      <c r="O6" s="40"/>
      <c r="P6" s="40"/>
    </row>
    <row r="7" spans="1:16" x14ac:dyDescent="0.2">
      <c r="A7" s="23" t="s">
        <v>225</v>
      </c>
      <c r="B7" s="23">
        <v>-2511.6</v>
      </c>
      <c r="C7" s="40">
        <v>-5.7081818181818178E-2</v>
      </c>
      <c r="D7" s="23"/>
      <c r="E7" s="23">
        <v>-7534.8</v>
      </c>
      <c r="F7" s="23">
        <v>-40.185600000000001</v>
      </c>
      <c r="G7" s="23">
        <v>-30.139199999999999</v>
      </c>
      <c r="H7" s="23">
        <v>-1883.6999999999998</v>
      </c>
      <c r="I7" s="23">
        <v>-1356.2640000000001</v>
      </c>
      <c r="J7" s="23">
        <v>-43762.118399999999</v>
      </c>
      <c r="K7" s="23">
        <v>-125.58</v>
      </c>
      <c r="L7" s="23">
        <v>-1215.6143999999999</v>
      </c>
      <c r="M7" s="23">
        <v>-2762.76</v>
      </c>
      <c r="N7" s="23">
        <v>-1.5017040358744396</v>
      </c>
      <c r="O7" s="40">
        <v>-0.36548311990686849</v>
      </c>
      <c r="P7" s="40">
        <v>-0.25922179791516153</v>
      </c>
    </row>
    <row r="8" spans="1:16" x14ac:dyDescent="0.2">
      <c r="A8" s="23" t="s">
        <v>65</v>
      </c>
      <c r="B8" s="23">
        <v>-1080</v>
      </c>
      <c r="C8" s="40">
        <v>-2.4545454545454544E-2</v>
      </c>
      <c r="D8" s="23"/>
      <c r="E8" s="23">
        <v>-3240</v>
      </c>
      <c r="F8" s="23">
        <v>-17.28</v>
      </c>
      <c r="G8" s="23">
        <v>-12.96</v>
      </c>
      <c r="H8" s="23">
        <v>-810</v>
      </c>
      <c r="I8" s="23">
        <v>-583.20000000000005</v>
      </c>
      <c r="J8" s="23">
        <v>-18817.919999999998</v>
      </c>
      <c r="K8" s="23">
        <v>-54</v>
      </c>
      <c r="L8" s="23">
        <v>-522.72</v>
      </c>
      <c r="M8" s="23">
        <v>-1188</v>
      </c>
      <c r="N8" s="23">
        <v>-0.64573991031390132</v>
      </c>
      <c r="O8" s="40">
        <v>-0.15715948777648428</v>
      </c>
      <c r="P8" s="40">
        <v>-0.11146661162142636</v>
      </c>
    </row>
    <row r="9" spans="1:16" x14ac:dyDescent="0.2">
      <c r="A9" s="23" t="s">
        <v>63</v>
      </c>
      <c r="B9" s="23">
        <v>-1646.856</v>
      </c>
      <c r="C9" s="40">
        <v>-3.7428545454545457E-2</v>
      </c>
      <c r="D9" s="23"/>
      <c r="E9" s="23">
        <v>-4940.5680000000002</v>
      </c>
      <c r="F9" s="23">
        <v>-26.349696000000002</v>
      </c>
      <c r="G9" s="23">
        <v>-19.762271999999999</v>
      </c>
      <c r="H9" s="23">
        <v>-1235.1420000000001</v>
      </c>
      <c r="I9" s="23">
        <v>-889.3022400000001</v>
      </c>
      <c r="J9" s="23">
        <v>-28694.818944000002</v>
      </c>
      <c r="K9" s="23">
        <v>-82.342800000000011</v>
      </c>
      <c r="L9" s="23">
        <v>-797.078304</v>
      </c>
      <c r="M9" s="23">
        <v>-1811.5416000000002</v>
      </c>
      <c r="N9" s="23">
        <v>-0.98466726457399112</v>
      </c>
      <c r="O9" s="40">
        <v>-0.23964726426076838</v>
      </c>
      <c r="P9" s="40">
        <v>-0.16997172050779238</v>
      </c>
    </row>
    <row r="10" spans="1:16" x14ac:dyDescent="0.2">
      <c r="A10" s="23" t="s">
        <v>182</v>
      </c>
      <c r="B10" s="23">
        <v>-245.41333714285716</v>
      </c>
      <c r="C10" s="40">
        <v>-5.5775758441558446E-3</v>
      </c>
      <c r="D10" s="23"/>
      <c r="E10" s="23">
        <v>-736.24001142857151</v>
      </c>
      <c r="F10" s="23">
        <v>-3.9266133942857144</v>
      </c>
      <c r="G10" s="23">
        <v>-2.9449600457142862</v>
      </c>
      <c r="H10" s="23">
        <v>-184.06000285714288</v>
      </c>
      <c r="I10" s="23">
        <v>-132.52320205714287</v>
      </c>
      <c r="J10" s="23">
        <v>-4276.081986377143</v>
      </c>
      <c r="K10" s="23">
        <v>-12.270666857142858</v>
      </c>
      <c r="L10" s="23">
        <v>-118.78005517714286</v>
      </c>
      <c r="M10" s="23">
        <v>-269.9546708571429</v>
      </c>
      <c r="N10" s="23">
        <v>-0.14673443177450354</v>
      </c>
      <c r="O10" s="40">
        <v>-3.5712068850823224E-2</v>
      </c>
      <c r="P10" s="40">
        <v>-2.5329067720389842E-2</v>
      </c>
    </row>
    <row r="11" spans="1:16" x14ac:dyDescent="0.2">
      <c r="A11" s="23" t="s">
        <v>170</v>
      </c>
      <c r="B11" s="23">
        <v>-1908.7703999999999</v>
      </c>
      <c r="C11" s="40">
        <v>-4.3381145454545453E-2</v>
      </c>
      <c r="D11" s="23"/>
      <c r="E11" s="23">
        <v>-5726.3112000000001</v>
      </c>
      <c r="F11" s="23">
        <v>-30.540326399999998</v>
      </c>
      <c r="G11" s="23">
        <v>-22.905244799999998</v>
      </c>
      <c r="H11" s="23">
        <v>-1431.5778</v>
      </c>
      <c r="I11" s="23">
        <v>-1030.7360160000001</v>
      </c>
      <c r="J11" s="23">
        <v>-33258.415449599997</v>
      </c>
      <c r="K11" s="23">
        <v>-95.438519999999997</v>
      </c>
      <c r="L11" s="23">
        <v>-923.84487359999991</v>
      </c>
      <c r="M11" s="23">
        <v>-2099.6474400000002</v>
      </c>
      <c r="N11" s="23">
        <v>-1.1412678026905831</v>
      </c>
      <c r="O11" s="40">
        <v>-0.27776053550640284</v>
      </c>
      <c r="P11" s="40">
        <v>-0.19700386004747655</v>
      </c>
    </row>
    <row r="12" spans="1:16" x14ac:dyDescent="0.2">
      <c r="A12" s="23" t="s">
        <v>172</v>
      </c>
      <c r="B12" s="23">
        <v>-814.09999999999991</v>
      </c>
      <c r="C12" s="40">
        <v>-1.8502272727272725E-2</v>
      </c>
      <c r="D12" s="23"/>
      <c r="E12" s="23">
        <v>-2442.2999999999997</v>
      </c>
      <c r="F12" s="23">
        <v>-13.025599999999999</v>
      </c>
      <c r="G12" s="23">
        <v>-9.7691999999999997</v>
      </c>
      <c r="H12" s="23">
        <v>-610.57499999999993</v>
      </c>
      <c r="I12" s="23">
        <v>-439.61399999999998</v>
      </c>
      <c r="J12" s="23">
        <v>-14184.8784</v>
      </c>
      <c r="K12" s="23">
        <v>-40.704999999999998</v>
      </c>
      <c r="L12" s="23">
        <v>-394.02439999999996</v>
      </c>
      <c r="M12" s="23">
        <v>-895.51</v>
      </c>
      <c r="N12" s="23">
        <v>-0.48675635276532137</v>
      </c>
      <c r="O12" s="40">
        <v>-0.1184662398137369</v>
      </c>
      <c r="P12" s="40">
        <v>-8.4023119000928889E-2</v>
      </c>
    </row>
    <row r="13" spans="1:16" x14ac:dyDescent="0.2">
      <c r="A13" s="23" t="s">
        <v>195</v>
      </c>
      <c r="B13" s="23">
        <v>-197.8</v>
      </c>
      <c r="C13" s="40">
        <v>-4.4954545454545455E-3</v>
      </c>
      <c r="D13" s="23"/>
      <c r="E13" s="23">
        <v>-593.40000000000009</v>
      </c>
      <c r="F13" s="23">
        <v>-3.1648000000000001</v>
      </c>
      <c r="G13" s="23">
        <v>-2.3736000000000002</v>
      </c>
      <c r="H13" s="23">
        <v>-148.35000000000002</v>
      </c>
      <c r="I13" s="23">
        <v>-106.81200000000001</v>
      </c>
      <c r="J13" s="23">
        <v>-3446.4672000000005</v>
      </c>
      <c r="K13" s="23">
        <v>-9.89</v>
      </c>
      <c r="L13" s="23">
        <v>-95.735200000000006</v>
      </c>
      <c r="M13" s="23">
        <v>-217.58000000000004</v>
      </c>
      <c r="N13" s="23">
        <v>-0.11826606875934233</v>
      </c>
      <c r="O13" s="40">
        <v>-2.8783469150174629E-2</v>
      </c>
      <c r="P13" s="40">
        <v>-2.0414903498813093E-2</v>
      </c>
    </row>
    <row r="14" spans="1:16" x14ac:dyDescent="0.2">
      <c r="A14" s="23" t="s">
        <v>196</v>
      </c>
      <c r="B14" s="23">
        <v>-1672.5</v>
      </c>
      <c r="C14" s="40">
        <v>-3.8011363636363635E-2</v>
      </c>
      <c r="D14" s="23"/>
      <c r="E14" s="23">
        <v>-5017.5</v>
      </c>
      <c r="F14" s="23">
        <v>-26.76</v>
      </c>
      <c r="G14" s="23">
        <v>-20.07</v>
      </c>
      <c r="H14" s="23">
        <v>-1254.375</v>
      </c>
      <c r="I14" s="23">
        <v>-903.15000000000009</v>
      </c>
      <c r="J14" s="23">
        <v>-29141.640000000003</v>
      </c>
      <c r="K14" s="23">
        <v>-83.625</v>
      </c>
      <c r="L14" s="23">
        <v>-809.49</v>
      </c>
      <c r="M14" s="23">
        <v>-1839.7500000000002</v>
      </c>
      <c r="N14" s="23">
        <v>-1.0000000000000002</v>
      </c>
      <c r="O14" s="40">
        <v>-0.24337892898719446</v>
      </c>
      <c r="P14" s="40">
        <v>-0.1726184332748478</v>
      </c>
    </row>
    <row r="15" spans="1:16" x14ac:dyDescent="0.2">
      <c r="A15" s="23" t="s">
        <v>58</v>
      </c>
      <c r="B15" s="23">
        <v>-3436</v>
      </c>
      <c r="C15" s="40">
        <v>-7.8090909090909086E-2</v>
      </c>
      <c r="D15" s="23"/>
      <c r="E15" s="23">
        <v>-10308</v>
      </c>
      <c r="F15" s="23">
        <v>-54.975999999999999</v>
      </c>
      <c r="G15" s="23">
        <v>-41.231999999999999</v>
      </c>
      <c r="H15" s="23">
        <v>-2577</v>
      </c>
      <c r="I15" s="23">
        <v>-1855.44</v>
      </c>
      <c r="J15" s="23">
        <v>-59868.864000000001</v>
      </c>
      <c r="K15" s="23">
        <v>-171.8</v>
      </c>
      <c r="L15" s="23">
        <v>-1663.0239999999999</v>
      </c>
      <c r="M15" s="23">
        <v>-3779.6000000000004</v>
      </c>
      <c r="N15" s="23">
        <v>-2.0544095665171902</v>
      </c>
      <c r="O15" s="40">
        <v>-0.50000000000000011</v>
      </c>
      <c r="P15" s="40">
        <v>-0.35462896067705652</v>
      </c>
    </row>
    <row r="16" spans="1:16" x14ac:dyDescent="0.2">
      <c r="A16" s="23" t="s">
        <v>59</v>
      </c>
      <c r="B16" s="23">
        <v>-4581.333333333333</v>
      </c>
      <c r="C16" s="40">
        <v>-0.10412121212121211</v>
      </c>
      <c r="D16" s="23"/>
      <c r="E16" s="23">
        <v>-13744</v>
      </c>
      <c r="F16" s="23">
        <v>-73.301333333333332</v>
      </c>
      <c r="G16" s="23">
        <v>-54.975999999999999</v>
      </c>
      <c r="H16" s="23">
        <v>-3436</v>
      </c>
      <c r="I16" s="23">
        <v>-2473.92</v>
      </c>
      <c r="J16" s="23">
        <v>-79825.152000000002</v>
      </c>
      <c r="K16" s="23">
        <v>-229.06666666666666</v>
      </c>
      <c r="L16" s="23">
        <v>-2217.3653333333332</v>
      </c>
      <c r="M16" s="23">
        <v>-5039.4666666666672</v>
      </c>
      <c r="N16" s="23">
        <v>-2.7392127553562533</v>
      </c>
      <c r="O16" s="40">
        <v>-0.66666666666666674</v>
      </c>
      <c r="P16" s="40">
        <v>-0.47283861423607532</v>
      </c>
    </row>
    <row r="17" spans="1:16" x14ac:dyDescent="0.2">
      <c r="A17" s="23" t="s">
        <v>60</v>
      </c>
      <c r="B17" s="23">
        <v>-6872</v>
      </c>
      <c r="C17" s="40">
        <v>-0.15618181818181817</v>
      </c>
      <c r="D17" s="23"/>
      <c r="E17" s="23">
        <v>-20616</v>
      </c>
      <c r="F17" s="23">
        <v>-109.952</v>
      </c>
      <c r="G17" s="23">
        <v>-82.463999999999999</v>
      </c>
      <c r="H17" s="23">
        <v>-5154</v>
      </c>
      <c r="I17" s="23">
        <v>-3710.88</v>
      </c>
      <c r="J17" s="23">
        <v>-119737.728</v>
      </c>
      <c r="K17" s="23">
        <v>-343.6</v>
      </c>
      <c r="L17" s="23">
        <v>-3326.0479999999998</v>
      </c>
      <c r="M17" s="23">
        <v>-7559.2000000000007</v>
      </c>
      <c r="N17" s="23">
        <v>-4.1088191330343804</v>
      </c>
      <c r="O17" s="40">
        <v>-1.0000000000000002</v>
      </c>
      <c r="P17" s="40">
        <v>-0.70925792135411303</v>
      </c>
    </row>
    <row r="18" spans="1:16" x14ac:dyDescent="0.2">
      <c r="A18" s="23" t="s">
        <v>192</v>
      </c>
      <c r="B18" s="23">
        <v>-1374.4</v>
      </c>
      <c r="C18" s="40">
        <v>-3.1236363636363638E-2</v>
      </c>
      <c r="D18" s="23"/>
      <c r="E18" s="23">
        <v>-4123.2000000000007</v>
      </c>
      <c r="F18" s="23">
        <v>-21.990400000000001</v>
      </c>
      <c r="G18" s="23">
        <v>-16.492800000000003</v>
      </c>
      <c r="H18" s="23">
        <v>-1030.8000000000002</v>
      </c>
      <c r="I18" s="23">
        <v>-742.17600000000004</v>
      </c>
      <c r="J18" s="23">
        <v>-23947.545600000001</v>
      </c>
      <c r="K18" s="23">
        <v>-68.720000000000013</v>
      </c>
      <c r="L18" s="23">
        <v>-665.20960000000002</v>
      </c>
      <c r="M18" s="23">
        <v>-1511.8400000000001</v>
      </c>
      <c r="N18" s="23">
        <v>-0.82176382660687597</v>
      </c>
      <c r="O18" s="40">
        <v>-0.2</v>
      </c>
      <c r="P18" s="40">
        <v>-0.14185158427082259</v>
      </c>
    </row>
    <row r="19" spans="1:16" x14ac:dyDescent="0.2">
      <c r="A19" s="23" t="s">
        <v>68</v>
      </c>
      <c r="B19" s="23">
        <v>-509.05799999999999</v>
      </c>
      <c r="C19" s="40">
        <v>-1.15695E-2</v>
      </c>
      <c r="D19" s="23"/>
      <c r="E19" s="23">
        <v>-1527.1740000000002</v>
      </c>
      <c r="F19" s="23">
        <v>-8.1449280000000002</v>
      </c>
      <c r="G19" s="23">
        <v>-6.1086960000000001</v>
      </c>
      <c r="H19" s="23">
        <v>-381.79349999999999</v>
      </c>
      <c r="I19" s="23">
        <v>-274.89132000000001</v>
      </c>
      <c r="J19" s="23">
        <v>-8869.8265919999994</v>
      </c>
      <c r="K19" s="23">
        <v>-25.4529</v>
      </c>
      <c r="L19" s="23">
        <v>-246.384072</v>
      </c>
      <c r="M19" s="23">
        <v>-559.96379999999999</v>
      </c>
      <c r="N19" s="23">
        <v>-0.30436950672645741</v>
      </c>
      <c r="O19" s="40">
        <v>-7.4077124563445867E-2</v>
      </c>
      <c r="P19" s="40">
        <v>-5.2539787387759315E-2</v>
      </c>
    </row>
    <row r="20" spans="1:16" x14ac:dyDescent="0.2">
      <c r="A20" s="23" t="s">
        <v>67</v>
      </c>
      <c r="B20" s="23">
        <v>-611.01</v>
      </c>
      <c r="C20" s="40">
        <v>-1.3886590909090909E-2</v>
      </c>
      <c r="D20" s="23"/>
      <c r="E20" s="23">
        <v>-1833.03</v>
      </c>
      <c r="F20" s="23">
        <v>-9.7761600000000008</v>
      </c>
      <c r="G20" s="23">
        <v>-7.3321199999999997</v>
      </c>
      <c r="H20" s="23">
        <v>-458.25749999999999</v>
      </c>
      <c r="I20" s="23">
        <v>-329.94540000000001</v>
      </c>
      <c r="J20" s="23">
        <v>-10646.238240000001</v>
      </c>
      <c r="K20" s="23">
        <v>-30.5505</v>
      </c>
      <c r="L20" s="23">
        <v>-295.72883999999999</v>
      </c>
      <c r="M20" s="23">
        <v>-672.11099999999999</v>
      </c>
      <c r="N20" s="23">
        <v>-0.36532735426008967</v>
      </c>
      <c r="O20" s="40">
        <v>-8.891298020954598E-2</v>
      </c>
      <c r="P20" s="40">
        <v>-6.3062235524821958E-2</v>
      </c>
    </row>
    <row r="21" spans="1:16" x14ac:dyDescent="0.2">
      <c r="A21" s="23" t="s">
        <v>64</v>
      </c>
      <c r="B21" s="23">
        <v>-721.56</v>
      </c>
      <c r="C21" s="40">
        <v>-1.6399090909090908E-2</v>
      </c>
      <c r="D21" s="23"/>
      <c r="E21" s="23">
        <v>-2164.6799999999998</v>
      </c>
      <c r="F21" s="23">
        <v>-11.54496</v>
      </c>
      <c r="G21" s="23">
        <v>-8.6587199999999989</v>
      </c>
      <c r="H21" s="23">
        <v>-541.16999999999996</v>
      </c>
      <c r="I21" s="23">
        <v>-389.64240000000001</v>
      </c>
      <c r="J21" s="23">
        <v>-12572.461439999999</v>
      </c>
      <c r="K21" s="23">
        <v>-36.077999999999996</v>
      </c>
      <c r="L21" s="23">
        <v>-349.23503999999997</v>
      </c>
      <c r="M21" s="23">
        <v>-793.71600000000001</v>
      </c>
      <c r="N21" s="23">
        <v>-0.43142600896860989</v>
      </c>
      <c r="O21" s="40">
        <v>-0.10500000000000001</v>
      </c>
      <c r="P21" s="40">
        <v>-7.4472081742181853E-2</v>
      </c>
    </row>
    <row r="22" spans="1:16" x14ac:dyDescent="0.2">
      <c r="A22" s="23" t="s">
        <v>66</v>
      </c>
      <c r="B22" s="23">
        <v>-1297.44</v>
      </c>
      <c r="C22" s="40">
        <v>-2.948727272727273E-2</v>
      </c>
      <c r="D22" s="23"/>
      <c r="E22" s="23">
        <v>-3892.32</v>
      </c>
      <c r="F22" s="23">
        <v>-20.759040000000002</v>
      </c>
      <c r="G22" s="23">
        <v>-15.569280000000001</v>
      </c>
      <c r="H22" s="23">
        <v>-973.08</v>
      </c>
      <c r="I22" s="23">
        <v>-700.61760000000004</v>
      </c>
      <c r="J22" s="23">
        <v>-22606.594560000001</v>
      </c>
      <c r="K22" s="23">
        <v>-64.872</v>
      </c>
      <c r="L22" s="23">
        <v>-627.96096</v>
      </c>
      <c r="M22" s="23">
        <v>-1427.1840000000002</v>
      </c>
      <c r="N22" s="23">
        <v>-0.77574887892376687</v>
      </c>
      <c r="O22" s="40">
        <v>-0.18880093131548314</v>
      </c>
      <c r="P22" s="40">
        <v>-0.13390855609454022</v>
      </c>
    </row>
    <row r="23" spans="1:16" x14ac:dyDescent="0.2">
      <c r="A23" s="23" t="s">
        <v>62</v>
      </c>
      <c r="B23" s="23">
        <v>-12974.4</v>
      </c>
      <c r="C23" s="40">
        <v>-0.29487272727272729</v>
      </c>
      <c r="D23" s="23">
        <v>-10812</v>
      </c>
      <c r="E23" s="23">
        <v>-38923.200000000004</v>
      </c>
      <c r="F23" s="23">
        <v>-207.59039999999999</v>
      </c>
      <c r="G23" s="23">
        <v>-155.69280000000001</v>
      </c>
      <c r="H23" s="23">
        <v>-9730.7999999999993</v>
      </c>
      <c r="I23" s="23">
        <v>-7006.1760000000004</v>
      </c>
      <c r="J23" s="23">
        <v>-226065.94559999998</v>
      </c>
      <c r="K23" s="23">
        <v>-648.72</v>
      </c>
      <c r="L23" s="23">
        <v>-6279.6095999999998</v>
      </c>
      <c r="M23" s="23">
        <v>-14271.84</v>
      </c>
      <c r="N23" s="23">
        <v>-7.7574887892376685</v>
      </c>
      <c r="O23" s="40">
        <v>-1.8880093131548312</v>
      </c>
      <c r="P23" s="40">
        <v>-1.339085560945402</v>
      </c>
    </row>
    <row r="24" spans="1:16" x14ac:dyDescent="0.2">
      <c r="A24" s="23" t="s">
        <v>189</v>
      </c>
      <c r="B24" s="23">
        <v>-729.81</v>
      </c>
      <c r="C24" s="40">
        <v>-1.6586590909090908E-2</v>
      </c>
      <c r="D24" s="23">
        <v>-608.17499999999995</v>
      </c>
      <c r="E24" s="23">
        <v>-2189.4299999999998</v>
      </c>
      <c r="F24" s="23">
        <v>-11.676959999999999</v>
      </c>
      <c r="G24" s="23">
        <v>-8.7577199999999991</v>
      </c>
      <c r="H24" s="23">
        <v>-547.35749999999996</v>
      </c>
      <c r="I24" s="23">
        <v>-394.09739999999999</v>
      </c>
      <c r="J24" s="23">
        <v>-12716.209440000001</v>
      </c>
      <c r="K24" s="23">
        <v>-36.490499999999997</v>
      </c>
      <c r="L24" s="23">
        <v>-353.22803999999996</v>
      </c>
      <c r="M24" s="23">
        <v>-802.79100000000005</v>
      </c>
      <c r="N24" s="23">
        <v>-0.43635874439461886</v>
      </c>
      <c r="O24" s="40">
        <v>-0.10620052386495926</v>
      </c>
      <c r="P24" s="40">
        <v>-7.5323562803178867E-2</v>
      </c>
    </row>
    <row r="25" spans="1:16" x14ac:dyDescent="0.2">
      <c r="A25" s="23" t="s">
        <v>188</v>
      </c>
      <c r="B25" s="23">
        <v>-973.07999999999993</v>
      </c>
      <c r="C25" s="40">
        <v>-2.2115454545454542E-2</v>
      </c>
      <c r="D25" s="23">
        <v>-810.9</v>
      </c>
      <c r="E25" s="23">
        <v>-2919.24</v>
      </c>
      <c r="F25" s="23">
        <v>-15.569279999999999</v>
      </c>
      <c r="G25" s="23">
        <v>-11.676959999999999</v>
      </c>
      <c r="H25" s="23">
        <v>-729.81</v>
      </c>
      <c r="I25" s="23">
        <v>-525.46320000000003</v>
      </c>
      <c r="J25" s="23">
        <v>-16954.945919999998</v>
      </c>
      <c r="K25" s="23">
        <v>-48.653999999999996</v>
      </c>
      <c r="L25" s="23">
        <v>-470.97071999999997</v>
      </c>
      <c r="M25" s="23">
        <v>-1070.3879999999999</v>
      </c>
      <c r="N25" s="23">
        <v>-0.58181165919282507</v>
      </c>
      <c r="O25" s="40">
        <v>-0.14160069848661233</v>
      </c>
      <c r="P25" s="40">
        <v>-0.10043141707090515</v>
      </c>
    </row>
    <row r="26" spans="1:16" x14ac:dyDescent="0.2">
      <c r="A26" s="23" t="s">
        <v>135</v>
      </c>
      <c r="B26" s="23">
        <v>-821.25</v>
      </c>
      <c r="C26" s="40">
        <v>-1.8664772727272728E-2</v>
      </c>
      <c r="D26" s="23"/>
      <c r="E26" s="23">
        <v>-2463.75</v>
      </c>
      <c r="F26" s="23">
        <v>-13.14</v>
      </c>
      <c r="G26" s="23">
        <v>-9.8550000000000004</v>
      </c>
      <c r="H26" s="23">
        <v>-615.9375</v>
      </c>
      <c r="I26" s="23">
        <v>-443.47500000000002</v>
      </c>
      <c r="J26" s="23">
        <v>-14309.460000000001</v>
      </c>
      <c r="K26" s="23">
        <v>-41.0625</v>
      </c>
      <c r="L26" s="23">
        <v>-397.48500000000001</v>
      </c>
      <c r="M26" s="23">
        <v>-903.37500000000011</v>
      </c>
      <c r="N26" s="23">
        <v>-0.49103139013452923</v>
      </c>
      <c r="O26" s="40">
        <v>-0.11950669383003494</v>
      </c>
      <c r="P26" s="40">
        <v>-8.4761069253792981E-2</v>
      </c>
    </row>
    <row r="27" spans="1:16" x14ac:dyDescent="0.2">
      <c r="A27" s="23" t="s">
        <v>153</v>
      </c>
      <c r="B27" s="23">
        <v>-181</v>
      </c>
      <c r="C27" s="40">
        <v>-4.1136363636363636E-3</v>
      </c>
      <c r="D27" s="23"/>
      <c r="E27" s="23">
        <v>-543</v>
      </c>
      <c r="F27" s="23">
        <v>-2.8959999999999999</v>
      </c>
      <c r="G27" s="23">
        <v>-9.8550000000000004</v>
      </c>
      <c r="H27" s="23">
        <v>-135.75</v>
      </c>
      <c r="I27" s="23">
        <v>-97.740000000000009</v>
      </c>
      <c r="J27" s="23">
        <v>-3153.7440000000001</v>
      </c>
      <c r="K27" s="23">
        <v>-9.0500000000000007</v>
      </c>
      <c r="L27" s="23">
        <v>-87.603999999999999</v>
      </c>
      <c r="M27" s="23">
        <v>-199.10000000000002</v>
      </c>
      <c r="N27" s="23">
        <v>-0.10822122571001495</v>
      </c>
      <c r="O27" s="40">
        <v>-2.6338766006984871E-2</v>
      </c>
      <c r="P27" s="40">
        <v>-1.8680978429146459E-2</v>
      </c>
    </row>
    <row r="28" spans="1:16" x14ac:dyDescent="0.2">
      <c r="A28" s="23" t="s">
        <v>167</v>
      </c>
      <c r="B28" s="23">
        <v>-88</v>
      </c>
      <c r="C28" s="40">
        <v>-2E-3</v>
      </c>
      <c r="D28" s="23"/>
      <c r="E28" s="23">
        <v>-264.00000000000006</v>
      </c>
      <c r="F28" s="23">
        <v>-1.4079999999999999</v>
      </c>
      <c r="G28" s="23">
        <v>-1.056</v>
      </c>
      <c r="H28" s="23">
        <v>-66</v>
      </c>
      <c r="I28" s="23">
        <v>-47.52</v>
      </c>
      <c r="J28" s="23">
        <v>-1533.3120000000001</v>
      </c>
      <c r="K28" s="23">
        <v>-4.4000000000000004</v>
      </c>
      <c r="L28" s="23">
        <v>-42.591999999999999</v>
      </c>
      <c r="M28" s="23">
        <v>-96.800000000000011</v>
      </c>
      <c r="N28" s="23">
        <v>-5.2615844544095673E-2</v>
      </c>
      <c r="O28" s="40">
        <v>-1.280558789289872E-2</v>
      </c>
      <c r="P28" s="40">
        <v>-9.0824646506347424E-3</v>
      </c>
    </row>
    <row r="29" spans="1:16" x14ac:dyDescent="0.2">
      <c r="A29" s="23" t="s">
        <v>171</v>
      </c>
      <c r="B29" s="23">
        <v>-814.09999999999991</v>
      </c>
      <c r="C29" s="40">
        <v>-1.8502272727272725E-2</v>
      </c>
      <c r="D29" s="23"/>
      <c r="E29" s="23">
        <v>-2442.2999999999997</v>
      </c>
      <c r="F29" s="23">
        <v>-13.025599999999999</v>
      </c>
      <c r="G29" s="23">
        <v>-9.7691999999999997</v>
      </c>
      <c r="H29" s="23">
        <v>-610.57499999999993</v>
      </c>
      <c r="I29" s="23">
        <v>-439.61399999999998</v>
      </c>
      <c r="J29" s="23">
        <v>-14184.8784</v>
      </c>
      <c r="K29" s="23">
        <v>-40.704999999999998</v>
      </c>
      <c r="L29" s="23">
        <v>-394.02439999999996</v>
      </c>
      <c r="M29" s="23">
        <v>-895.51</v>
      </c>
      <c r="N29" s="23">
        <v>-0.48675635276532137</v>
      </c>
      <c r="O29" s="40">
        <v>-0.1184662398137369</v>
      </c>
      <c r="P29" s="40">
        <v>-8.4023119000928889E-2</v>
      </c>
    </row>
    <row r="30" spans="1:16" x14ac:dyDescent="0.2">
      <c r="A30" s="23" t="s">
        <v>184</v>
      </c>
      <c r="B30" s="23">
        <v>-0.04</v>
      </c>
      <c r="C30" s="40">
        <v>-9.0909090909090915E-7</v>
      </c>
      <c r="D30" s="23"/>
      <c r="E30" s="23">
        <v>-0.12</v>
      </c>
      <c r="F30" s="23">
        <v>-6.4000000000000005E-4</v>
      </c>
      <c r="G30" s="23">
        <v>-4.8000000000000001E-4</v>
      </c>
      <c r="H30" s="23">
        <v>-0.03</v>
      </c>
      <c r="I30" s="23">
        <v>-2.1600000000000001E-2</v>
      </c>
      <c r="J30" s="23">
        <v>-0.69696000000000013</v>
      </c>
      <c r="K30" s="23">
        <v>-2E-3</v>
      </c>
      <c r="L30" s="23">
        <v>-1.9359999999999999E-2</v>
      </c>
      <c r="M30" s="23">
        <v>-4.4000000000000004E-2</v>
      </c>
      <c r="N30" s="23">
        <v>-2.3916292974588941E-5</v>
      </c>
      <c r="O30" s="40">
        <v>-5.8207217694994188E-6</v>
      </c>
      <c r="P30" s="40">
        <v>-4.128393023015792E-6</v>
      </c>
    </row>
    <row r="31" spans="1:16" x14ac:dyDescent="0.2">
      <c r="A31" s="23" t="s">
        <v>224</v>
      </c>
      <c r="B31" s="23">
        <f>B30*4*180</f>
        <v>-28.8</v>
      </c>
      <c r="C31" s="40">
        <f t="shared" ref="C31" si="0">B31/44000</f>
        <v>-6.5454545454545453E-4</v>
      </c>
      <c r="D31" s="23"/>
      <c r="E31" s="23">
        <f t="shared" ref="E31" si="1">B31/1.2*3.6</f>
        <v>-86.4</v>
      </c>
      <c r="F31" s="23">
        <f t="shared" ref="F31" si="2">B31*0.016</f>
        <v>-0.46080000000000004</v>
      </c>
      <c r="G31" s="23">
        <f t="shared" ref="G31" si="3">B31*0.012</f>
        <v>-0.34560000000000002</v>
      </c>
      <c r="H31" s="23">
        <f t="shared" ref="H31" si="4">B31*0.75</f>
        <v>-21.6</v>
      </c>
      <c r="I31" s="23">
        <f t="shared" ref="I31" si="5">B31*0.54</f>
        <v>-15.552000000000001</v>
      </c>
      <c r="J31" s="23">
        <f t="shared" ref="J31" si="6">B31*0.0004*43560</f>
        <v>-501.81120000000004</v>
      </c>
      <c r="K31" s="23">
        <f t="shared" ref="K31" si="7">B31*0.05</f>
        <v>-1.4400000000000002</v>
      </c>
      <c r="L31" s="23">
        <f t="shared" ref="L31" si="8">B31*0.484</f>
        <v>-13.9392</v>
      </c>
      <c r="M31" s="23">
        <f t="shared" ref="M31" si="9">B31*1.1</f>
        <v>-31.680000000000003</v>
      </c>
      <c r="N31" s="23">
        <f t="shared" ref="N31" si="10">M31/1839.75</f>
        <v>-1.7219730941704037E-2</v>
      </c>
      <c r="O31" s="40">
        <f t="shared" ref="O31" si="11">M31/7559.2</f>
        <v>-4.1909196740395815E-3</v>
      </c>
      <c r="P31" s="40">
        <f t="shared" ref="P31" si="12">M31/10657.9</f>
        <v>-2.9724429765713698E-3</v>
      </c>
    </row>
    <row r="32" spans="1:16" x14ac:dyDescent="0.2">
      <c r="A32" s="23" t="s">
        <v>190</v>
      </c>
      <c r="B32" s="23">
        <v>-476</v>
      </c>
      <c r="C32" s="40">
        <v>-1.0818181818181819E-2</v>
      </c>
      <c r="D32" s="23"/>
      <c r="E32" s="23">
        <v>-1428</v>
      </c>
      <c r="F32" s="23">
        <v>-7.6160000000000005</v>
      </c>
      <c r="G32" s="23">
        <v>-5.7119999999999997</v>
      </c>
      <c r="H32" s="23">
        <v>-357</v>
      </c>
      <c r="I32" s="23">
        <v>-257.04000000000002</v>
      </c>
      <c r="J32" s="23">
        <v>-8293.8240000000005</v>
      </c>
      <c r="K32" s="23">
        <v>-23.8</v>
      </c>
      <c r="L32" s="23">
        <v>-230.38399999999999</v>
      </c>
      <c r="M32" s="23">
        <v>-523.6</v>
      </c>
      <c r="N32" s="23">
        <v>-0.28460388639760836</v>
      </c>
      <c r="O32" s="40">
        <v>-6.9266589057043082E-2</v>
      </c>
      <c r="P32" s="40">
        <v>-4.9127876973887916E-2</v>
      </c>
    </row>
    <row r="33" spans="1:16" x14ac:dyDescent="0.2">
      <c r="A33" s="23" t="s">
        <v>223</v>
      </c>
      <c r="B33" s="23">
        <v>-42.34</v>
      </c>
      <c r="C33" s="40">
        <v>-9.622727272727273E-4</v>
      </c>
      <c r="D33" s="23"/>
      <c r="E33" s="23">
        <v>-127.02000000000002</v>
      </c>
      <c r="F33" s="23">
        <v>-0.67744000000000004</v>
      </c>
      <c r="G33" s="23">
        <v>-0.50808000000000009</v>
      </c>
      <c r="H33" s="23">
        <v>-31.755000000000003</v>
      </c>
      <c r="I33" s="23">
        <v>-22.863600000000002</v>
      </c>
      <c r="J33" s="23">
        <v>-737.73216000000014</v>
      </c>
      <c r="K33" s="23">
        <v>-2.1170000000000004</v>
      </c>
      <c r="L33" s="23">
        <v>-20.492560000000001</v>
      </c>
      <c r="M33" s="23">
        <v>-46.574000000000005</v>
      </c>
      <c r="N33" s="23">
        <v>-2.5315396113602395E-2</v>
      </c>
      <c r="O33" s="40">
        <v>-6.1612339930151349E-3</v>
      </c>
      <c r="P33" s="40">
        <v>-4.3699040148622156E-3</v>
      </c>
    </row>
    <row r="34" spans="1:16" x14ac:dyDescent="0.2">
      <c r="A34" s="23" t="s">
        <v>203</v>
      </c>
      <c r="B34" s="23">
        <v>-846.80000000000007</v>
      </c>
      <c r="C34" s="40">
        <v>-1.9245454545454548E-2</v>
      </c>
      <c r="D34" s="23"/>
      <c r="E34" s="23">
        <v>-2540.4000000000005</v>
      </c>
      <c r="F34" s="23">
        <v>-13.548800000000002</v>
      </c>
      <c r="G34" s="23">
        <v>-10.161600000000002</v>
      </c>
      <c r="H34" s="23">
        <v>-635.1</v>
      </c>
      <c r="I34" s="23">
        <v>-457.27200000000005</v>
      </c>
      <c r="J34" s="23">
        <v>-14754.6432</v>
      </c>
      <c r="K34" s="23">
        <v>-42.34</v>
      </c>
      <c r="L34" s="23">
        <v>-409.85120000000001</v>
      </c>
      <c r="M34" s="23">
        <v>-931.48000000000013</v>
      </c>
      <c r="N34" s="23">
        <v>-0.50630792227204791</v>
      </c>
      <c r="O34" s="40">
        <v>-0.12322467986030269</v>
      </c>
      <c r="P34" s="40">
        <v>-8.7398080297244315E-2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H18" sqref="H18"/>
    </sheetView>
  </sheetViews>
  <sheetFormatPr baseColWidth="10" defaultRowHeight="16" x14ac:dyDescent="0.2"/>
  <cols>
    <col min="1" max="1" width="69.6640625" style="47" customWidth="1"/>
    <col min="2" max="2" width="10.83203125" style="14"/>
    <col min="3" max="3" width="2.5" style="42" customWidth="1"/>
    <col min="4" max="4" width="60.1640625" style="42" bestFit="1" customWidth="1"/>
    <col min="5" max="5" width="6.33203125" style="42" customWidth="1"/>
    <col min="6" max="6" width="10" style="42" customWidth="1"/>
    <col min="7" max="8" width="9.33203125" style="42" customWidth="1"/>
    <col min="9" max="16384" width="10.83203125" style="42"/>
  </cols>
  <sheetData>
    <row r="1" spans="1:8" ht="56" x14ac:dyDescent="0.2">
      <c r="A1" s="38" t="s">
        <v>222</v>
      </c>
      <c r="B1" s="38" t="s">
        <v>6</v>
      </c>
      <c r="D1" s="49" t="s">
        <v>222</v>
      </c>
      <c r="E1" s="49" t="s">
        <v>6</v>
      </c>
      <c r="F1" s="49" t="s">
        <v>251</v>
      </c>
      <c r="G1" s="50" t="s">
        <v>252</v>
      </c>
      <c r="H1" s="50" t="s">
        <v>246</v>
      </c>
    </row>
    <row r="2" spans="1:8" x14ac:dyDescent="0.2">
      <c r="A2" s="45" t="s">
        <v>234</v>
      </c>
      <c r="B2" s="43">
        <v>-326.92307692307691</v>
      </c>
      <c r="D2" s="51" t="s">
        <v>248</v>
      </c>
      <c r="E2" s="52">
        <f>-703.7*0.2</f>
        <v>-140.74</v>
      </c>
      <c r="F2" s="53">
        <f>-1*E2/703.7</f>
        <v>0.2</v>
      </c>
      <c r="G2" s="55">
        <f>-1*E2/44000</f>
        <v>3.198636363636364E-3</v>
      </c>
      <c r="H2" s="53">
        <f t="shared" ref="H2:H3" si="0">-1*E2/10000</f>
        <v>1.4074000000000001E-2</v>
      </c>
    </row>
    <row r="3" spans="1:8" x14ac:dyDescent="0.2">
      <c r="A3" s="45" t="s">
        <v>65</v>
      </c>
      <c r="B3" s="43">
        <v>-1080</v>
      </c>
      <c r="D3" s="51" t="s">
        <v>247</v>
      </c>
      <c r="E3" s="52">
        <f>-703.7</f>
        <v>-703.7</v>
      </c>
      <c r="F3" s="53">
        <f t="shared" ref="F3:F26" si="1">-1*E3/703.7</f>
        <v>1</v>
      </c>
      <c r="G3" s="55">
        <f t="shared" ref="G3" si="2">-1*E3/44000</f>
        <v>1.599318181818182E-2</v>
      </c>
      <c r="H3" s="53">
        <f t="shared" si="0"/>
        <v>7.0370000000000002E-2</v>
      </c>
    </row>
    <row r="4" spans="1:8" x14ac:dyDescent="0.2">
      <c r="A4" s="45" t="s">
        <v>63</v>
      </c>
      <c r="B4" s="43">
        <v>-1646.856</v>
      </c>
      <c r="D4" s="54" t="s">
        <v>234</v>
      </c>
      <c r="E4" s="52">
        <v>-326.92307692307691</v>
      </c>
      <c r="F4" s="53">
        <f t="shared" si="1"/>
        <v>0.46457734392934047</v>
      </c>
      <c r="G4" s="55">
        <f t="shared" ref="G4:G27" si="3">-1*E4/44000</f>
        <v>7.43006993006993E-3</v>
      </c>
      <c r="H4" s="53">
        <f t="shared" ref="H4:H27" si="4">-1*E4/10000</f>
        <v>3.2692307692307687E-2</v>
      </c>
    </row>
    <row r="5" spans="1:8" x14ac:dyDescent="0.2">
      <c r="A5" s="45" t="s">
        <v>232</v>
      </c>
      <c r="B5" s="43">
        <v>-245.41333714285716</v>
      </c>
      <c r="D5" s="54" t="s">
        <v>65</v>
      </c>
      <c r="E5" s="52">
        <v>-1080</v>
      </c>
      <c r="F5" s="53">
        <f t="shared" si="1"/>
        <v>1.5347449197101037</v>
      </c>
      <c r="G5" s="55">
        <f t="shared" si="3"/>
        <v>2.4545454545454544E-2</v>
      </c>
      <c r="H5" s="53">
        <f t="shared" si="4"/>
        <v>0.108</v>
      </c>
    </row>
    <row r="6" spans="1:8" x14ac:dyDescent="0.2">
      <c r="A6" s="45" t="s">
        <v>233</v>
      </c>
      <c r="B6" s="43">
        <v>-1908.7703999999999</v>
      </c>
      <c r="D6" s="54" t="s">
        <v>63</v>
      </c>
      <c r="E6" s="52">
        <v>-1646.856</v>
      </c>
      <c r="F6" s="53">
        <f t="shared" si="1"/>
        <v>2.3402813699019469</v>
      </c>
      <c r="G6" s="55">
        <f t="shared" si="3"/>
        <v>3.7428545454545457E-2</v>
      </c>
      <c r="H6" s="53">
        <f t="shared" si="4"/>
        <v>0.16468559999999999</v>
      </c>
    </row>
    <row r="7" spans="1:8" x14ac:dyDescent="0.2">
      <c r="A7" s="45" t="s">
        <v>237</v>
      </c>
      <c r="B7" s="43">
        <v>-814.09999999999991</v>
      </c>
      <c r="D7" s="54" t="s">
        <v>232</v>
      </c>
      <c r="E7" s="52">
        <v>-245.41333714285716</v>
      </c>
      <c r="F7" s="53">
        <f t="shared" si="1"/>
        <v>0.3487471040825027</v>
      </c>
      <c r="G7" s="55">
        <f t="shared" si="3"/>
        <v>5.5775758441558446E-3</v>
      </c>
      <c r="H7" s="53">
        <f t="shared" si="4"/>
        <v>2.4541333714285716E-2</v>
      </c>
    </row>
    <row r="8" spans="1:8" x14ac:dyDescent="0.2">
      <c r="A8" s="45" t="s">
        <v>195</v>
      </c>
      <c r="B8" s="43">
        <v>-197.8</v>
      </c>
      <c r="D8" s="54" t="s">
        <v>233</v>
      </c>
      <c r="E8" s="52">
        <v>-1908.7703999999999</v>
      </c>
      <c r="F8" s="53">
        <f t="shared" si="1"/>
        <v>2.7124774761972428</v>
      </c>
      <c r="G8" s="55">
        <f t="shared" si="3"/>
        <v>4.3381145454545453E-2</v>
      </c>
      <c r="H8" s="53">
        <f t="shared" si="4"/>
        <v>0.19087704</v>
      </c>
    </row>
    <row r="9" spans="1:8" x14ac:dyDescent="0.2">
      <c r="A9" s="45" t="s">
        <v>235</v>
      </c>
      <c r="B9" s="43">
        <v>-1672.5</v>
      </c>
      <c r="D9" s="54" t="s">
        <v>237</v>
      </c>
      <c r="E9" s="52">
        <v>-814.09999999999991</v>
      </c>
      <c r="F9" s="53">
        <f t="shared" si="1"/>
        <v>1.1568850362370326</v>
      </c>
      <c r="G9" s="55">
        <f t="shared" si="3"/>
        <v>1.8502272727272725E-2</v>
      </c>
      <c r="H9" s="53">
        <f t="shared" si="4"/>
        <v>8.1409999999999996E-2</v>
      </c>
    </row>
    <row r="10" spans="1:8" x14ac:dyDescent="0.2">
      <c r="A10" s="45" t="s">
        <v>58</v>
      </c>
      <c r="B10" s="43">
        <v>-3436</v>
      </c>
      <c r="D10" s="54" t="s">
        <v>195</v>
      </c>
      <c r="E10" s="52">
        <v>-197.8</v>
      </c>
      <c r="F10" s="53">
        <f t="shared" si="1"/>
        <v>0.2810856899246838</v>
      </c>
      <c r="G10" s="55">
        <f t="shared" si="3"/>
        <v>4.4954545454545455E-3</v>
      </c>
      <c r="H10" s="53">
        <f t="shared" si="4"/>
        <v>1.9780000000000002E-2</v>
      </c>
    </row>
    <row r="11" spans="1:8" x14ac:dyDescent="0.2">
      <c r="A11" s="45" t="s">
        <v>59</v>
      </c>
      <c r="B11" s="43">
        <v>-4581.333333333333</v>
      </c>
      <c r="D11" s="54" t="s">
        <v>235</v>
      </c>
      <c r="E11" s="52">
        <v>-1672.5</v>
      </c>
      <c r="F11" s="53">
        <f t="shared" si="1"/>
        <v>2.3767230353843964</v>
      </c>
      <c r="G11" s="55">
        <f t="shared" si="3"/>
        <v>3.8011363636363635E-2</v>
      </c>
      <c r="H11" s="53">
        <f t="shared" si="4"/>
        <v>0.16725000000000001</v>
      </c>
    </row>
    <row r="12" spans="1:8" x14ac:dyDescent="0.2">
      <c r="A12" s="45" t="s">
        <v>60</v>
      </c>
      <c r="B12" s="43">
        <v>-6872</v>
      </c>
      <c r="D12" s="54" t="s">
        <v>240</v>
      </c>
      <c r="E12" s="52">
        <v>-1128.384</v>
      </c>
      <c r="F12" s="53">
        <f t="shared" si="1"/>
        <v>1.6035014921131163</v>
      </c>
      <c r="G12" s="55">
        <f t="shared" si="3"/>
        <v>2.5645090909090909E-2</v>
      </c>
      <c r="H12" s="53">
        <f t="shared" si="4"/>
        <v>0.11283840000000001</v>
      </c>
    </row>
    <row r="13" spans="1:8" x14ac:dyDescent="0.2">
      <c r="A13" s="45" t="s">
        <v>192</v>
      </c>
      <c r="B13" s="43">
        <v>-1374.4</v>
      </c>
      <c r="D13" s="54" t="s">
        <v>239</v>
      </c>
      <c r="E13" s="52">
        <v>-1116</v>
      </c>
      <c r="F13" s="53">
        <f t="shared" si="1"/>
        <v>1.5859030837004404</v>
      </c>
      <c r="G13" s="55">
        <f t="shared" si="3"/>
        <v>2.5363636363636363E-2</v>
      </c>
      <c r="H13" s="53">
        <f t="shared" si="4"/>
        <v>0.1116</v>
      </c>
    </row>
    <row r="14" spans="1:8" x14ac:dyDescent="0.2">
      <c r="A14" s="22" t="s">
        <v>240</v>
      </c>
      <c r="B14" s="43">
        <f>-Data!B71+Data!B75*0.3</f>
        <v>-1128.384</v>
      </c>
      <c r="D14" s="54" t="s">
        <v>241</v>
      </c>
      <c r="E14" s="52">
        <f>-611.01/2.6</f>
        <v>-235.00384615384615</v>
      </c>
      <c r="F14" s="53">
        <f t="shared" si="1"/>
        <v>0.33395459166384273</v>
      </c>
      <c r="G14" s="55">
        <f t="shared" si="3"/>
        <v>5.3409965034965038E-3</v>
      </c>
      <c r="H14" s="53">
        <f t="shared" si="4"/>
        <v>2.3500384615384614E-2</v>
      </c>
    </row>
    <row r="15" spans="1:8" x14ac:dyDescent="0.2">
      <c r="A15" s="22" t="s">
        <v>239</v>
      </c>
      <c r="B15" s="43">
        <v>-1116</v>
      </c>
      <c r="D15" s="54" t="s">
        <v>64</v>
      </c>
      <c r="E15" s="52">
        <v>-721.56</v>
      </c>
      <c r="F15" s="53">
        <f t="shared" si="1"/>
        <v>1.0253801335796502</v>
      </c>
      <c r="G15" s="55">
        <f t="shared" si="3"/>
        <v>1.6399090909090908E-2</v>
      </c>
      <c r="H15" s="53">
        <f t="shared" si="4"/>
        <v>7.2155999999999998E-2</v>
      </c>
    </row>
    <row r="16" spans="1:8" x14ac:dyDescent="0.2">
      <c r="A16" s="45" t="s">
        <v>67</v>
      </c>
      <c r="B16" s="43">
        <v>-611.01</v>
      </c>
      <c r="D16" s="54" t="s">
        <v>231</v>
      </c>
      <c r="E16" s="52">
        <v>-499.01538461538462</v>
      </c>
      <c r="F16" s="53">
        <f t="shared" si="1"/>
        <v>0.70913085777374529</v>
      </c>
      <c r="G16" s="55">
        <f t="shared" si="3"/>
        <v>1.1341258741258742E-2</v>
      </c>
      <c r="H16" s="53">
        <f t="shared" si="4"/>
        <v>4.9901538461538462E-2</v>
      </c>
    </row>
    <row r="17" spans="1:8" x14ac:dyDescent="0.2">
      <c r="A17" s="45" t="s">
        <v>64</v>
      </c>
      <c r="B17" s="43">
        <v>-721.56</v>
      </c>
      <c r="D17" s="54" t="s">
        <v>230</v>
      </c>
      <c r="E17" s="52">
        <v>-4990.1538461538457</v>
      </c>
      <c r="F17" s="53">
        <f t="shared" si="1"/>
        <v>7.0913085777374523</v>
      </c>
      <c r="G17" s="55">
        <f t="shared" si="3"/>
        <v>0.1134125874125874</v>
      </c>
      <c r="H17" s="53">
        <f t="shared" si="4"/>
        <v>0.49901538461538458</v>
      </c>
    </row>
    <row r="18" spans="1:8" x14ac:dyDescent="0.2">
      <c r="A18" s="45" t="s">
        <v>231</v>
      </c>
      <c r="B18" s="43">
        <v>-499.01538461538462</v>
      </c>
      <c r="D18" s="54" t="s">
        <v>254</v>
      </c>
      <c r="E18" s="52">
        <v>-281</v>
      </c>
      <c r="F18" s="53">
        <f t="shared" si="1"/>
        <v>0.3993178911467955</v>
      </c>
      <c r="G18" s="55">
        <f t="shared" si="3"/>
        <v>6.3863636363636362E-3</v>
      </c>
      <c r="H18" s="53">
        <f t="shared" si="4"/>
        <v>2.81E-2</v>
      </c>
    </row>
    <row r="19" spans="1:8" x14ac:dyDescent="0.2">
      <c r="A19" s="45" t="s">
        <v>230</v>
      </c>
      <c r="B19" s="43">
        <v>-4990.1538461538457</v>
      </c>
      <c r="D19" s="54" t="s">
        <v>188</v>
      </c>
      <c r="E19" s="52">
        <v>-374</v>
      </c>
      <c r="F19" s="53">
        <f t="shared" si="1"/>
        <v>0.53147648145516557</v>
      </c>
      <c r="G19" s="55">
        <f t="shared" si="3"/>
        <v>8.5000000000000006E-3</v>
      </c>
      <c r="H19" s="53">
        <f t="shared" si="4"/>
        <v>3.7400000000000003E-2</v>
      </c>
    </row>
    <row r="20" spans="1:8" x14ac:dyDescent="0.2">
      <c r="A20" s="45" t="s">
        <v>254</v>
      </c>
      <c r="B20" s="43">
        <f>-729.81/2.6</f>
        <v>-280.69615384615383</v>
      </c>
      <c r="D20" s="54" t="s">
        <v>135</v>
      </c>
      <c r="E20" s="52">
        <v>-821.25</v>
      </c>
      <c r="F20" s="53">
        <f t="shared" si="1"/>
        <v>1.1670456160295579</v>
      </c>
      <c r="G20" s="55">
        <f t="shared" si="3"/>
        <v>1.8664772727272728E-2</v>
      </c>
      <c r="H20" s="53">
        <f t="shared" si="4"/>
        <v>8.2125000000000004E-2</v>
      </c>
    </row>
    <row r="21" spans="1:8" x14ac:dyDescent="0.2">
      <c r="A21" s="45" t="s">
        <v>188</v>
      </c>
      <c r="B21" s="43">
        <v>-973.07999999999993</v>
      </c>
      <c r="D21" s="54" t="s">
        <v>171</v>
      </c>
      <c r="E21" s="52">
        <v>-814.09999999999991</v>
      </c>
      <c r="F21" s="53">
        <f t="shared" si="1"/>
        <v>1.1568850362370326</v>
      </c>
      <c r="G21" s="55">
        <f t="shared" si="3"/>
        <v>1.8502272727272725E-2</v>
      </c>
      <c r="H21" s="53">
        <f t="shared" si="4"/>
        <v>8.1409999999999996E-2</v>
      </c>
    </row>
    <row r="22" spans="1:8" x14ac:dyDescent="0.2">
      <c r="A22" s="45" t="s">
        <v>135</v>
      </c>
      <c r="B22" s="43">
        <v>-821.25</v>
      </c>
      <c r="D22" s="54" t="s">
        <v>185</v>
      </c>
      <c r="E22" s="52">
        <v>-41.76</v>
      </c>
      <c r="F22" s="53">
        <f t="shared" si="1"/>
        <v>5.9343470228790669E-2</v>
      </c>
      <c r="G22" s="55">
        <f t="shared" si="3"/>
        <v>9.4909090909090909E-4</v>
      </c>
      <c r="H22" s="53">
        <f t="shared" si="4"/>
        <v>4.176E-3</v>
      </c>
    </row>
    <row r="23" spans="1:8" x14ac:dyDescent="0.2">
      <c r="A23" s="45" t="s">
        <v>153</v>
      </c>
      <c r="B23" s="43">
        <v>-181</v>
      </c>
      <c r="D23" s="54" t="s">
        <v>242</v>
      </c>
      <c r="E23" s="52">
        <v>-183.07692307692307</v>
      </c>
      <c r="F23" s="53">
        <f t="shared" si="1"/>
        <v>0.26016331260043069</v>
      </c>
      <c r="G23" s="55">
        <f t="shared" si="3"/>
        <v>4.1608391608391609E-3</v>
      </c>
      <c r="H23" s="53">
        <f t="shared" si="4"/>
        <v>1.8307692307692306E-2</v>
      </c>
    </row>
    <row r="24" spans="1:8" x14ac:dyDescent="0.2">
      <c r="A24" s="45" t="s">
        <v>167</v>
      </c>
      <c r="B24" s="43">
        <v>-88</v>
      </c>
      <c r="D24" s="54" t="s">
        <v>236</v>
      </c>
      <c r="E24" s="52">
        <v>-846.80000000000007</v>
      </c>
      <c r="F24" s="53">
        <f t="shared" si="1"/>
        <v>1.2033537018615887</v>
      </c>
      <c r="G24" s="55">
        <f t="shared" si="3"/>
        <v>1.9245454545454548E-2</v>
      </c>
      <c r="H24" s="53">
        <f t="shared" si="4"/>
        <v>8.4680000000000005E-2</v>
      </c>
    </row>
    <row r="25" spans="1:8" x14ac:dyDescent="0.2">
      <c r="A25" s="45" t="s">
        <v>171</v>
      </c>
      <c r="B25" s="43">
        <v>-814.09999999999991</v>
      </c>
      <c r="D25" s="54" t="s">
        <v>250</v>
      </c>
      <c r="E25" s="52">
        <v>-769.23076923076917</v>
      </c>
      <c r="F25" s="53">
        <f t="shared" si="1"/>
        <v>1.0931231621866835</v>
      </c>
      <c r="G25" s="55">
        <f t="shared" si="3"/>
        <v>1.748251748251748E-2</v>
      </c>
      <c r="H25" s="53">
        <f t="shared" si="4"/>
        <v>7.6923076923076913E-2</v>
      </c>
    </row>
    <row r="26" spans="1:8" x14ac:dyDescent="0.2">
      <c r="A26" s="45" t="s">
        <v>185</v>
      </c>
      <c r="B26" s="43">
        <v>-41.76</v>
      </c>
      <c r="D26" s="54" t="s">
        <v>249</v>
      </c>
      <c r="E26" s="52">
        <v>-711.53846153846155</v>
      </c>
      <c r="F26" s="53">
        <f t="shared" si="1"/>
        <v>1.0111389250226823</v>
      </c>
      <c r="G26" s="55">
        <f t="shared" si="3"/>
        <v>1.6171328671328672E-2</v>
      </c>
      <c r="H26" s="53">
        <f t="shared" si="4"/>
        <v>7.1153846153846151E-2</v>
      </c>
    </row>
    <row r="27" spans="1:8" x14ac:dyDescent="0.2">
      <c r="A27" s="45" t="s">
        <v>190</v>
      </c>
      <c r="B27" s="43">
        <v>-183.07692307692307</v>
      </c>
      <c r="D27" s="54" t="s">
        <v>229</v>
      </c>
      <c r="E27" s="52">
        <v>-118.19999999999999</v>
      </c>
      <c r="F27" s="53">
        <f>-1*E27/703.7</f>
        <v>0.16796930510160576</v>
      </c>
      <c r="G27" s="55">
        <f t="shared" si="3"/>
        <v>2.686363636363636E-3</v>
      </c>
      <c r="H27" s="53">
        <f t="shared" si="4"/>
        <v>1.1819999999999999E-2</v>
      </c>
    </row>
    <row r="28" spans="1:8" x14ac:dyDescent="0.2">
      <c r="A28" s="46" t="s">
        <v>236</v>
      </c>
      <c r="B28" s="44">
        <v>-846.80000000000007</v>
      </c>
    </row>
    <row r="29" spans="1:8" x14ac:dyDescent="0.2">
      <c r="A29" s="46" t="s">
        <v>226</v>
      </c>
      <c r="B29" s="44">
        <v>-769.23076923076906</v>
      </c>
    </row>
    <row r="30" spans="1:8" x14ac:dyDescent="0.2">
      <c r="A30" s="46" t="s">
        <v>227</v>
      </c>
      <c r="B30" s="44">
        <v>-711.538461538462</v>
      </c>
    </row>
    <row r="31" spans="1:8" x14ac:dyDescent="0.2">
      <c r="A31" s="46" t="s">
        <v>229</v>
      </c>
      <c r="B31" s="44">
        <f>-394*0.3</f>
        <v>-118.19999999999999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18" sqref="A18"/>
    </sheetView>
  </sheetViews>
  <sheetFormatPr baseColWidth="10" defaultRowHeight="16" x14ac:dyDescent="0.2"/>
  <cols>
    <col min="1" max="1" width="56.33203125" customWidth="1"/>
  </cols>
  <sheetData>
    <row r="1" spans="1:1" x14ac:dyDescent="0.2">
      <c r="A1" t="s">
        <v>174</v>
      </c>
    </row>
    <row r="2" spans="1:1" x14ac:dyDescent="0.2">
      <c r="A2" t="s">
        <v>201</v>
      </c>
    </row>
    <row r="3" spans="1:1" x14ac:dyDescent="0.2">
      <c r="A3" t="s">
        <v>178</v>
      </c>
    </row>
    <row r="4" spans="1:1" x14ac:dyDescent="0.2">
      <c r="A4" s="2" t="s">
        <v>46</v>
      </c>
    </row>
    <row r="5" spans="1:1" x14ac:dyDescent="0.2">
      <c r="A5" s="2" t="s">
        <v>47</v>
      </c>
    </row>
    <row r="6" spans="1:1" x14ac:dyDescent="0.2">
      <c r="A6" s="1" t="s">
        <v>48</v>
      </c>
    </row>
    <row r="7" spans="1:1" x14ac:dyDescent="0.2">
      <c r="A7" s="1" t="s">
        <v>158</v>
      </c>
    </row>
    <row r="8" spans="1:1" x14ac:dyDescent="0.2">
      <c r="A8" s="1" t="s">
        <v>159</v>
      </c>
    </row>
    <row r="9" spans="1:1" x14ac:dyDescent="0.2">
      <c r="A9" s="1" t="s">
        <v>197</v>
      </c>
    </row>
    <row r="10" spans="1:1" x14ac:dyDescent="0.2">
      <c r="A10" s="1" t="s">
        <v>166</v>
      </c>
    </row>
    <row r="11" spans="1:1" x14ac:dyDescent="0.2">
      <c r="A11" s="2" t="s">
        <v>49</v>
      </c>
    </row>
    <row r="12" spans="1:1" x14ac:dyDescent="0.2">
      <c r="A12" s="1" t="s">
        <v>50</v>
      </c>
    </row>
    <row r="13" spans="1:1" x14ac:dyDescent="0.2">
      <c r="A13" s="2" t="s">
        <v>51</v>
      </c>
    </row>
    <row r="14" spans="1:1" x14ac:dyDescent="0.2">
      <c r="A14" t="s">
        <v>52</v>
      </c>
    </row>
    <row r="15" spans="1:1" x14ac:dyDescent="0.2">
      <c r="A15" t="s">
        <v>53</v>
      </c>
    </row>
    <row r="16" spans="1:1" x14ac:dyDescent="0.2">
      <c r="A16" t="s">
        <v>61</v>
      </c>
    </row>
    <row r="17" spans="1:1" x14ac:dyDescent="0.2">
      <c r="A17" t="s">
        <v>228</v>
      </c>
    </row>
    <row r="18" spans="1:1" x14ac:dyDescent="0.2">
      <c r="A18" t="s">
        <v>136</v>
      </c>
    </row>
    <row r="19" spans="1:1" x14ac:dyDescent="0.2">
      <c r="A19" t="s">
        <v>142</v>
      </c>
    </row>
    <row r="20" spans="1:1" x14ac:dyDescent="0.2">
      <c r="A20" t="s">
        <v>145</v>
      </c>
    </row>
    <row r="21" spans="1:1" x14ac:dyDescent="0.2">
      <c r="A21" t="s">
        <v>168</v>
      </c>
    </row>
    <row r="22" spans="1:1" x14ac:dyDescent="0.2">
      <c r="A22" t="s">
        <v>186</v>
      </c>
    </row>
    <row r="23" spans="1:1" x14ac:dyDescent="0.2">
      <c r="A23" t="s">
        <v>187</v>
      </c>
    </row>
    <row r="24" spans="1:1" x14ac:dyDescent="0.2">
      <c r="A24" t="s">
        <v>191</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151</v>
      </c>
    </row>
    <row r="31" spans="1:1" x14ac:dyDescent="0.2">
      <c r="A31" t="s">
        <v>152</v>
      </c>
    </row>
    <row r="33" spans="1:3" x14ac:dyDescent="0.2">
      <c r="A33" s="2" t="s">
        <v>70</v>
      </c>
    </row>
    <row r="34" spans="1:3" x14ac:dyDescent="0.2">
      <c r="A34" s="2" t="s">
        <v>71</v>
      </c>
    </row>
    <row r="35" spans="1:3" x14ac:dyDescent="0.2">
      <c r="A35" s="2" t="s">
        <v>72</v>
      </c>
    </row>
    <row r="36" spans="1:3" x14ac:dyDescent="0.2">
      <c r="A36" s="2" t="s">
        <v>73</v>
      </c>
    </row>
    <row r="37" spans="1:3" x14ac:dyDescent="0.2">
      <c r="A37" s="1" t="s">
        <v>74</v>
      </c>
    </row>
    <row r="38" spans="1:3" x14ac:dyDescent="0.2">
      <c r="A38" s="1" t="s">
        <v>75</v>
      </c>
    </row>
    <row r="39" spans="1:3" x14ac:dyDescent="0.2">
      <c r="A39" s="2" t="s">
        <v>76</v>
      </c>
    </row>
    <row r="40" spans="1:3" x14ac:dyDescent="0.2">
      <c r="A40" s="1" t="s">
        <v>77</v>
      </c>
    </row>
    <row r="41" spans="1:3" x14ac:dyDescent="0.2">
      <c r="A41" s="1" t="s">
        <v>140</v>
      </c>
    </row>
    <row r="43" spans="1:3" x14ac:dyDescent="0.2">
      <c r="A43" t="s">
        <v>82</v>
      </c>
      <c r="B43">
        <v>598</v>
      </c>
      <c r="C43" t="s">
        <v>83</v>
      </c>
    </row>
    <row r="44" spans="1:3" x14ac:dyDescent="0.2">
      <c r="A44" t="s">
        <v>84</v>
      </c>
      <c r="B44" s="3">
        <v>0.54600000000000004</v>
      </c>
      <c r="C44" t="s">
        <v>85</v>
      </c>
    </row>
    <row r="45" spans="1:3" x14ac:dyDescent="0.2">
      <c r="A45" t="s">
        <v>86</v>
      </c>
      <c r="B45">
        <f>B43*B44</f>
        <v>326.50800000000004</v>
      </c>
    </row>
    <row r="46" spans="1:3" x14ac:dyDescent="0.2">
      <c r="A46" t="s">
        <v>87</v>
      </c>
      <c r="B46">
        <v>54</v>
      </c>
      <c r="C46" t="s">
        <v>88</v>
      </c>
    </row>
    <row r="47" spans="1:3" x14ac:dyDescent="0.2">
      <c r="A47" t="s">
        <v>89</v>
      </c>
      <c r="B47" s="4">
        <v>74519</v>
      </c>
      <c r="C47" t="s">
        <v>90</v>
      </c>
    </row>
    <row r="48" spans="1:3" x14ac:dyDescent="0.2">
      <c r="A48" t="s">
        <v>91</v>
      </c>
      <c r="B48" s="5">
        <v>0.67</v>
      </c>
      <c r="C48" t="s">
        <v>92</v>
      </c>
    </row>
    <row r="49" spans="1:3" x14ac:dyDescent="0.2">
      <c r="A49" s="6" t="s">
        <v>93</v>
      </c>
      <c r="B49" s="7">
        <v>0.19</v>
      </c>
      <c r="C49" s="6" t="s">
        <v>92</v>
      </c>
    </row>
    <row r="50" spans="1:3" x14ac:dyDescent="0.2">
      <c r="A50" t="s">
        <v>94</v>
      </c>
      <c r="B50">
        <v>10</v>
      </c>
      <c r="C50" t="s">
        <v>95</v>
      </c>
    </row>
    <row r="51" spans="1:3" x14ac:dyDescent="0.2">
      <c r="A51" t="s">
        <v>96</v>
      </c>
      <c r="B51">
        <f>B47*B50</f>
        <v>745190</v>
      </c>
      <c r="C51" t="s">
        <v>97</v>
      </c>
    </row>
    <row r="52" spans="1:3" x14ac:dyDescent="0.2">
      <c r="A52" t="s">
        <v>98</v>
      </c>
      <c r="B52" s="3">
        <v>0.30399999999999999</v>
      </c>
      <c r="C52" t="s">
        <v>99</v>
      </c>
    </row>
    <row r="53" spans="1:3" x14ac:dyDescent="0.2">
      <c r="A53" t="s">
        <v>100</v>
      </c>
      <c r="B53" s="3">
        <v>0.33800000000000002</v>
      </c>
      <c r="C53" t="s">
        <v>99</v>
      </c>
    </row>
    <row r="54" spans="1:3" x14ac:dyDescent="0.2">
      <c r="A54" t="s">
        <v>101</v>
      </c>
      <c r="B54">
        <f>B52*B51</f>
        <v>226537.75999999998</v>
      </c>
      <c r="C54" t="s">
        <v>102</v>
      </c>
    </row>
    <row r="55" spans="1:3" x14ac:dyDescent="0.2">
      <c r="A55" t="s">
        <v>103</v>
      </c>
      <c r="B55">
        <f>B51*B53</f>
        <v>251874.22000000003</v>
      </c>
      <c r="C55" t="s">
        <v>104</v>
      </c>
    </row>
    <row r="56" spans="1:3" x14ac:dyDescent="0.2">
      <c r="A56" t="s">
        <v>105</v>
      </c>
      <c r="C56" t="s">
        <v>106</v>
      </c>
    </row>
    <row r="57" spans="1:3" x14ac:dyDescent="0.2">
      <c r="A57" t="s">
        <v>107</v>
      </c>
      <c r="C57" t="s">
        <v>106</v>
      </c>
    </row>
    <row r="58" spans="1:3" x14ac:dyDescent="0.2">
      <c r="A58" t="s">
        <v>108</v>
      </c>
      <c r="C58" t="s">
        <v>109</v>
      </c>
    </row>
    <row r="59" spans="1:3" x14ac:dyDescent="0.2">
      <c r="A59" t="s">
        <v>110</v>
      </c>
      <c r="B59">
        <f>B54/1.25</f>
        <v>181230.20799999998</v>
      </c>
      <c r="C59" t="s">
        <v>111</v>
      </c>
    </row>
    <row r="60" spans="1:3" x14ac:dyDescent="0.2">
      <c r="A60" t="s">
        <v>112</v>
      </c>
      <c r="B60">
        <f>B55/0.3</f>
        <v>839580.73333333351</v>
      </c>
      <c r="C60" t="s">
        <v>113</v>
      </c>
    </row>
    <row r="61" spans="1:3" x14ac:dyDescent="0.2">
      <c r="A61" t="s">
        <v>114</v>
      </c>
    </row>
    <row r="62" spans="1:3" x14ac:dyDescent="0.2">
      <c r="A62" t="s">
        <v>115</v>
      </c>
    </row>
    <row r="63" spans="1:3" x14ac:dyDescent="0.2">
      <c r="A63" t="s">
        <v>116</v>
      </c>
      <c r="B63">
        <f>5720/2000</f>
        <v>2.86</v>
      </c>
      <c r="C63" t="s">
        <v>117</v>
      </c>
    </row>
    <row r="64" spans="1:3" x14ac:dyDescent="0.2">
      <c r="A64" t="s">
        <v>118</v>
      </c>
      <c r="B64">
        <f>117/1000</f>
        <v>0.11700000000000001</v>
      </c>
      <c r="C64" t="s">
        <v>119</v>
      </c>
    </row>
    <row r="65" spans="1:3" x14ac:dyDescent="0.2">
      <c r="A65" t="s">
        <v>120</v>
      </c>
      <c r="B65">
        <f>B63*B59</f>
        <v>518318.39487999992</v>
      </c>
      <c r="C65" t="s">
        <v>121</v>
      </c>
    </row>
    <row r="66" spans="1:3" x14ac:dyDescent="0.2">
      <c r="A66" t="s">
        <v>122</v>
      </c>
      <c r="B66">
        <f>B64*B60</f>
        <v>98230.94580000003</v>
      </c>
      <c r="C66" t="s">
        <v>123</v>
      </c>
    </row>
    <row r="67" spans="1:3" x14ac:dyDescent="0.2">
      <c r="A67" t="s">
        <v>124</v>
      </c>
      <c r="B67">
        <f>518318.39488/2000</f>
        <v>259.15919744000001</v>
      </c>
    </row>
    <row r="68" spans="1:3" x14ac:dyDescent="0.2">
      <c r="A68" t="s">
        <v>125</v>
      </c>
      <c r="B68">
        <f>98230.9458/2000</f>
        <v>49.1154729</v>
      </c>
    </row>
    <row r="70" spans="1:3" x14ac:dyDescent="0.2">
      <c r="A70" s="1" t="s">
        <v>204</v>
      </c>
    </row>
    <row r="71" spans="1:3" x14ac:dyDescent="0.2">
      <c r="A71" s="1" t="s">
        <v>205</v>
      </c>
    </row>
    <row r="72" spans="1:3" x14ac:dyDescent="0.2">
      <c r="A72" s="1" t="s">
        <v>206</v>
      </c>
    </row>
    <row r="73" spans="1:3" x14ac:dyDescent="0.2">
      <c r="A73" s="1" t="s">
        <v>207</v>
      </c>
    </row>
    <row r="74" spans="1:3" x14ac:dyDescent="0.2">
      <c r="A74" s="1" t="s">
        <v>220</v>
      </c>
    </row>
    <row r="75" spans="1:3" x14ac:dyDescent="0.2">
      <c r="A75" s="2" t="s">
        <v>208</v>
      </c>
    </row>
    <row r="76" spans="1:3" x14ac:dyDescent="0.2">
      <c r="A76" s="1" t="s">
        <v>209</v>
      </c>
    </row>
    <row r="77" spans="1:3" x14ac:dyDescent="0.2">
      <c r="A77" s="1" t="s">
        <v>210</v>
      </c>
    </row>
    <row r="78" spans="1:3" x14ac:dyDescent="0.2">
      <c r="A78" s="1" t="s">
        <v>211</v>
      </c>
    </row>
    <row r="79" spans="1:3" x14ac:dyDescent="0.2">
      <c r="A79" s="1" t="s">
        <v>212</v>
      </c>
    </row>
    <row r="80" spans="1:3" x14ac:dyDescent="0.2">
      <c r="A80" s="1" t="s">
        <v>213</v>
      </c>
    </row>
    <row r="81" spans="1:1" x14ac:dyDescent="0.2">
      <c r="A81" s="1" t="s">
        <v>214</v>
      </c>
    </row>
    <row r="82" spans="1:1" x14ac:dyDescent="0.2">
      <c r="A82" s="1" t="s">
        <v>215</v>
      </c>
    </row>
    <row r="83" spans="1:1" x14ac:dyDescent="0.2">
      <c r="A83" s="1" t="s">
        <v>216</v>
      </c>
    </row>
    <row r="85" spans="1:1" x14ac:dyDescent="0.2">
      <c r="A85" s="1" t="s">
        <v>217</v>
      </c>
    </row>
    <row r="86" spans="1:1" x14ac:dyDescent="0.2">
      <c r="A86" s="1" t="s">
        <v>218</v>
      </c>
    </row>
    <row r="87" spans="1:1" x14ac:dyDescent="0.2">
      <c r="A87" s="1" t="s">
        <v>219</v>
      </c>
    </row>
  </sheetData>
  <hyperlinks>
    <hyperlink ref="A4" r:id="rId1"/>
    <hyperlink ref="A5" r:id="rId2"/>
    <hyperlink ref="A11" r:id="rId3"/>
    <hyperlink ref="A13" r:id="rId4"/>
    <hyperlink ref="A33" r:id="rId5"/>
    <hyperlink ref="A34" r:id="rId6"/>
    <hyperlink ref="A35" r:id="rId7"/>
    <hyperlink ref="A36" r:id="rId8"/>
    <hyperlink ref="A39" r:id="rId9"/>
    <hyperlink ref="A75" r:id="rId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Data</vt:lpstr>
      <vt:lpstr>School Bus Offset</vt:lpstr>
      <vt:lpstr>For Lesson 6</vt:lpstr>
      <vt:lpstr>Sources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2017-07-17T16:24:55Z</dcterms:created>
  <dcterms:modified xsi:type="dcterms:W3CDTF">2017-08-08T17:46:21Z</dcterms:modified>
</cp:coreProperties>
</file>